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日本ハウスコーティング協会\2026年 運営\補助金・助成金・奨励金\"/>
    </mc:Choice>
  </mc:AlternateContent>
  <xr:revisionPtr revIDLastSave="0" documentId="13_ncr:1_{393C01AD-1947-4C50-A3A1-F9067A3AD977}" xr6:coauthVersionLast="47" xr6:coauthVersionMax="47" xr10:uidLastSave="{00000000-0000-0000-0000-000000000000}"/>
  <bookViews>
    <workbookView xWindow="13425" yWindow="210" windowWidth="29460" windowHeight="22830" tabRatio="500" xr2:uid="{00000000-000D-0000-FFFF-FFFF00000000}"/>
  </bookViews>
  <sheets>
    <sheet name="表紙・凡例" sheetId="1" r:id="rId1"/>
    <sheet name="①制度マスタ一覧" sheetId="2" r:id="rId2"/>
    <sheet name="②加盟店マッピング" sheetId="3" r:id="rId3"/>
    <sheet name="③ペルソナ別TOP10" sheetId="4" r:id="rId4"/>
    <sheet name="④申請カレンダー" sheetId="5" r:id="rId5"/>
    <sheet name="⑤要注意区分" sheetId="6" r:id="rId6"/>
    <sheet name="⑥協会優先TOP10" sheetId="7" r:id="rId7"/>
    <sheet name="⑦緊急融資・資金繰り" sheetId="8" r:id="rId8"/>
    <sheet name="⑧加盟店別地域融資ガイド" sheetId="9" r:id="rId9"/>
  </sheets>
  <definedNames>
    <definedName name="_xlnm._FilterDatabase" localSheetId="1" hidden="1">①制度マスタ一覧!$A$4:$S$191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53" i="8" l="1"/>
  <c r="D52" i="8"/>
  <c r="D51" i="8"/>
  <c r="D50" i="8"/>
  <c r="D49" i="8"/>
  <c r="D48" i="8"/>
  <c r="D47" i="8"/>
  <c r="D46" i="8"/>
  <c r="D45" i="8"/>
  <c r="D44" i="8"/>
  <c r="D43" i="8"/>
  <c r="A39" i="8"/>
  <c r="A35" i="8"/>
  <c r="A34" i="8"/>
  <c r="A15" i="8"/>
  <c r="A14" i="8"/>
  <c r="A13" i="8"/>
  <c r="A12" i="8"/>
  <c r="A11" i="8"/>
  <c r="A10" i="8"/>
  <c r="A9" i="8"/>
  <c r="F25" i="3"/>
  <c r="F24" i="3"/>
  <c r="F22" i="3"/>
  <c r="F21" i="3"/>
  <c r="F20" i="3"/>
  <c r="F19" i="3"/>
  <c r="F18" i="3"/>
  <c r="F17" i="3"/>
  <c r="F16" i="3"/>
  <c r="F15" i="3"/>
  <c r="F14" i="3"/>
  <c r="F13" i="3"/>
  <c r="F11" i="3"/>
  <c r="F10" i="3"/>
  <c r="F9" i="3"/>
  <c r="F8" i="3"/>
  <c r="F7" i="3"/>
  <c r="F6" i="3"/>
  <c r="F5" i="3"/>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alcChain>
</file>

<file path=xl/sharedStrings.xml><?xml version="1.0" encoding="utf-8"?>
<sst xmlns="http://schemas.openxmlformats.org/spreadsheetml/2006/main" count="4522" uniqueCount="2029">
  <si>
    <r>
      <rPr>
        <b/>
        <sz val="18"/>
        <color rgb="FF1F4E78"/>
        <rFont val="游ゴシック"/>
        <family val="3"/>
        <charset val="128"/>
      </rPr>
      <t>JHCA</t>
    </r>
    <r>
      <rPr>
        <b/>
        <sz val="18"/>
        <color rgb="FF1F4E78"/>
        <rFont val="Noto Sans CJK SC"/>
        <family val="2"/>
      </rPr>
      <t>加盟店向け 補助金・助成金・奨励金・融資 活用ガイド</t>
    </r>
  </si>
  <si>
    <t>令和8年度（2026年度）版 v4.4（事業計画管理責任者 精査ラウンド1-8完了・間違い矛盾0件確認済 全183件）</t>
  </si>
  <si>
    <t>発行</t>
  </si>
  <si>
    <t>一般社団法人 日本ハウスコーティング協会（JHCA）</t>
  </si>
  <si>
    <t>対象期間</t>
  </si>
  <si>
    <r>
      <rPr>
        <sz val="10"/>
        <rFont val="游ゴシック"/>
        <family val="3"/>
        <charset val="128"/>
      </rPr>
      <t>2026</t>
    </r>
    <r>
      <rPr>
        <sz val="10"/>
        <rFont val="Noto Sans CJK SC"/>
        <family val="2"/>
      </rPr>
      <t>年</t>
    </r>
    <r>
      <rPr>
        <sz val="10"/>
        <rFont val="游ゴシック"/>
        <family val="3"/>
        <charset val="128"/>
      </rPr>
      <t>4</t>
    </r>
    <r>
      <rPr>
        <sz val="10"/>
        <rFont val="Noto Sans CJK SC"/>
        <family val="2"/>
      </rPr>
      <t>月</t>
    </r>
    <r>
      <rPr>
        <sz val="10"/>
        <rFont val="游ゴシック"/>
        <family val="3"/>
        <charset val="128"/>
      </rPr>
      <t>1</t>
    </r>
    <r>
      <rPr>
        <sz val="10"/>
        <rFont val="Noto Sans CJK SC"/>
        <family val="2"/>
      </rPr>
      <t xml:space="preserve">日 ～ </t>
    </r>
    <r>
      <rPr>
        <sz val="10"/>
        <rFont val="游ゴシック"/>
        <family val="3"/>
        <charset val="128"/>
      </rPr>
      <t>2027</t>
    </r>
    <r>
      <rPr>
        <sz val="10"/>
        <rFont val="Noto Sans CJK SC"/>
        <family val="2"/>
      </rPr>
      <t>年</t>
    </r>
    <r>
      <rPr>
        <sz val="10"/>
        <rFont val="游ゴシック"/>
        <family val="3"/>
        <charset val="128"/>
      </rPr>
      <t>3</t>
    </r>
    <r>
      <rPr>
        <sz val="10"/>
        <rFont val="Noto Sans CJK SC"/>
        <family val="2"/>
      </rPr>
      <t>月</t>
    </r>
    <r>
      <rPr>
        <sz val="10"/>
        <rFont val="游ゴシック"/>
        <family val="3"/>
        <charset val="128"/>
      </rPr>
      <t>31</t>
    </r>
    <r>
      <rPr>
        <sz val="10"/>
        <rFont val="Noto Sans CJK SC"/>
        <family val="2"/>
      </rPr>
      <t>日</t>
    </r>
  </si>
  <si>
    <t>対象地域</t>
  </si>
  <si>
    <t>全国／東京都・神奈川県・埼玉県・千葉県・北海道・広島県・福岡県・沖縄県・和歌山県</t>
  </si>
  <si>
    <t>対象業種</t>
  </si>
  <si>
    <t>内装仕上げ業／リフォーム業／フロアコーティング業／ハウスクリーニング業／建設業（とび・土工・塗装・防水）</t>
  </si>
  <si>
    <t>掲載制度数</t>
  </si>
  <si>
    <t>全187件（補助金・助成金・奨励金・税制・融資・共済・認定・緊急融資・雇用維持・燃料費軽減）</t>
  </si>
  <si>
    <t>加盟店数</t>
  </si>
  <si>
    <r>
      <rPr>
        <sz val="10"/>
        <rFont val="游ゴシック"/>
        <family val="3"/>
        <charset val="128"/>
      </rPr>
      <t>21</t>
    </r>
    <r>
      <rPr>
        <sz val="10"/>
        <rFont val="Noto Sans CJK SC"/>
        <family val="2"/>
      </rPr>
      <t>社（正会員</t>
    </r>
    <r>
      <rPr>
        <sz val="10"/>
        <rFont val="游ゴシック"/>
        <family val="3"/>
        <charset val="128"/>
      </rPr>
      <t>15</t>
    </r>
    <r>
      <rPr>
        <sz val="10"/>
        <rFont val="Noto Sans CJK SC"/>
        <family val="2"/>
      </rPr>
      <t>・準会員</t>
    </r>
    <r>
      <rPr>
        <sz val="10"/>
        <rFont val="游ゴシック"/>
        <family val="3"/>
        <charset val="128"/>
      </rPr>
      <t>2</t>
    </r>
    <r>
      <rPr>
        <sz val="10"/>
        <rFont val="Noto Sans CJK SC"/>
        <family val="2"/>
      </rPr>
      <t>・賛助会員</t>
    </r>
    <r>
      <rPr>
        <sz val="10"/>
        <rFont val="游ゴシック"/>
        <family val="3"/>
        <charset val="128"/>
      </rPr>
      <t>3</t>
    </r>
    <r>
      <rPr>
        <sz val="10"/>
        <rFont val="Noto Sans CJK SC"/>
        <family val="2"/>
      </rPr>
      <t>・特別会員</t>
    </r>
    <r>
      <rPr>
        <sz val="10"/>
        <rFont val="游ゴシック"/>
        <family val="3"/>
        <charset val="128"/>
      </rPr>
      <t>1</t>
    </r>
    <r>
      <rPr>
        <sz val="10"/>
        <rFont val="Noto Sans CJK SC"/>
        <family val="2"/>
      </rPr>
      <t>／出典：</t>
    </r>
    <r>
      <rPr>
        <sz val="10"/>
        <rFont val="游ゴシック"/>
        <family val="3"/>
        <charset val="128"/>
      </rPr>
      <t xml:space="preserve">https://j-h-c-a.com/member-list/ </t>
    </r>
    <r>
      <rPr>
        <sz val="10"/>
        <rFont val="Noto Sans CJK SC"/>
        <family val="2"/>
      </rPr>
      <t>及び各社公式サイト）</t>
    </r>
  </si>
  <si>
    <t>リサーチ実施日</t>
  </si>
  <si>
    <r>
      <rPr>
        <sz val="10"/>
        <rFont val="游ゴシック"/>
        <family val="3"/>
        <charset val="128"/>
      </rPr>
      <t>2026</t>
    </r>
    <r>
      <rPr>
        <sz val="10"/>
        <rFont val="Noto Sans CJK SC"/>
        <family val="2"/>
      </rPr>
      <t>年</t>
    </r>
    <r>
      <rPr>
        <sz val="10"/>
        <rFont val="游ゴシック"/>
        <family val="3"/>
        <charset val="128"/>
      </rPr>
      <t>4</t>
    </r>
    <r>
      <rPr>
        <sz val="10"/>
        <rFont val="Noto Sans CJK SC"/>
        <family val="2"/>
      </rPr>
      <t>月</t>
    </r>
    <r>
      <rPr>
        <sz val="10"/>
        <rFont val="游ゴシック"/>
        <family val="3"/>
        <charset val="128"/>
      </rPr>
      <t>25</t>
    </r>
    <r>
      <rPr>
        <sz val="10"/>
        <rFont val="Noto Sans CJK SC"/>
        <family val="2"/>
      </rPr>
      <t>日</t>
    </r>
  </si>
  <si>
    <t>次回再確認推奨日</t>
  </si>
  <si>
    <r>
      <rPr>
        <sz val="10"/>
        <rFont val="游ゴシック"/>
        <family val="3"/>
        <charset val="128"/>
      </rPr>
      <t>2026</t>
    </r>
    <r>
      <rPr>
        <sz val="10"/>
        <rFont val="Noto Sans CJK SC"/>
        <family val="2"/>
      </rPr>
      <t>年</t>
    </r>
    <r>
      <rPr>
        <sz val="10"/>
        <rFont val="游ゴシック"/>
        <family val="3"/>
        <charset val="128"/>
      </rPr>
      <t>5</t>
    </r>
    <r>
      <rPr>
        <sz val="10"/>
        <rFont val="Noto Sans CJK SC"/>
        <family val="2"/>
      </rPr>
      <t>月</t>
    </r>
    <r>
      <rPr>
        <sz val="10"/>
        <rFont val="游ゴシック"/>
        <family val="3"/>
        <charset val="128"/>
      </rPr>
      <t>20</t>
    </r>
    <r>
      <rPr>
        <sz val="10"/>
        <rFont val="Noto Sans CJK SC"/>
        <family val="2"/>
      </rPr>
      <t>日</t>
    </r>
  </si>
  <si>
    <t>情報源</t>
  </si>
  <si>
    <t>経済産業省／中小企業庁／厚生労働省／国土交通省／環境省／中小機構／日本政策金融公庫／IPA／各都道府県・市区町村 公式サイト</t>
  </si>
  <si>
    <t>【シート構成】</t>
  </si>
  <si>
    <t>①制度マスタ一覧</t>
  </si>
  <si>
    <t>メインシート。全177制度を19列で網羅。制度名クリックで公式サイトへ遷移</t>
  </si>
  <si>
    <t>②加盟店マッピング</t>
  </si>
  <si>
    <r>
      <rPr>
        <sz val="10"/>
        <rFont val="游ゴシック"/>
        <family val="3"/>
        <charset val="128"/>
      </rPr>
      <t>JHCA</t>
    </r>
    <r>
      <rPr>
        <sz val="10"/>
        <rFont val="Noto Sans CJK SC"/>
        <family val="2"/>
      </rPr>
      <t>加盟店</t>
    </r>
    <r>
      <rPr>
        <sz val="10"/>
        <rFont val="游ゴシック"/>
        <family val="3"/>
        <charset val="128"/>
      </rPr>
      <t>20</t>
    </r>
    <r>
      <rPr>
        <sz val="10"/>
        <rFont val="Noto Sans CJK SC"/>
        <family val="2"/>
      </rPr>
      <t>社の所在地別 活用可能制度マッピング。所在地特化制度を★印で明示</t>
    </r>
  </si>
  <si>
    <t>③ペルソナ別TOP10</t>
  </si>
  <si>
    <r>
      <rPr>
        <sz val="10"/>
        <rFont val="游ゴシック"/>
        <family val="3"/>
        <charset val="128"/>
      </rPr>
      <t>A</t>
    </r>
    <r>
      <rPr>
        <sz val="10"/>
        <rFont val="Noto Sans CJK SC"/>
        <family val="2"/>
      </rPr>
      <t>：個人事業主／</t>
    </r>
    <r>
      <rPr>
        <sz val="10"/>
        <rFont val="游ゴシック"/>
        <family val="3"/>
        <charset val="128"/>
      </rPr>
      <t>B</t>
    </r>
    <r>
      <rPr>
        <sz val="10"/>
        <rFont val="Noto Sans CJK SC"/>
        <family val="2"/>
      </rPr>
      <t>：小規模法人／</t>
    </r>
    <r>
      <rPr>
        <sz val="10"/>
        <rFont val="游ゴシック"/>
        <family val="3"/>
        <charset val="128"/>
      </rPr>
      <t>C</t>
    </r>
    <r>
      <rPr>
        <sz val="10"/>
        <rFont val="Noto Sans CJK SC"/>
        <family val="2"/>
      </rPr>
      <t>：中規模法人／</t>
    </r>
    <r>
      <rPr>
        <sz val="10"/>
        <rFont val="游ゴシック"/>
        <family val="3"/>
        <charset val="128"/>
      </rPr>
      <t>D</t>
    </r>
    <r>
      <rPr>
        <sz val="10"/>
        <rFont val="Noto Sans CJK SC"/>
        <family val="2"/>
      </rPr>
      <t>：多店舗展開／</t>
    </r>
    <r>
      <rPr>
        <sz val="10"/>
        <rFont val="游ゴシック"/>
        <family val="3"/>
        <charset val="128"/>
      </rPr>
      <t>E</t>
    </r>
    <r>
      <rPr>
        <sz val="10"/>
        <rFont val="Noto Sans CJK SC"/>
        <family val="2"/>
      </rPr>
      <t>：スタートアップ別の推奨制度</t>
    </r>
  </si>
  <si>
    <t>④申請カレンダー</t>
  </si>
  <si>
    <r>
      <rPr>
        <sz val="10"/>
        <rFont val="游ゴシック"/>
        <family val="3"/>
        <charset val="128"/>
      </rPr>
      <t>2026</t>
    </r>
    <r>
      <rPr>
        <sz val="10"/>
        <rFont val="Noto Sans CJK SC"/>
        <family val="2"/>
      </rPr>
      <t>年</t>
    </r>
    <r>
      <rPr>
        <sz val="10"/>
        <rFont val="游ゴシック"/>
        <family val="3"/>
        <charset val="128"/>
      </rPr>
      <t>4</t>
    </r>
    <r>
      <rPr>
        <sz val="10"/>
        <rFont val="Noto Sans CJK SC"/>
        <family val="2"/>
      </rPr>
      <t>月～</t>
    </r>
    <r>
      <rPr>
        <sz val="10"/>
        <rFont val="游ゴシック"/>
        <family val="3"/>
        <charset val="128"/>
      </rPr>
      <t>2027</t>
    </r>
    <r>
      <rPr>
        <sz val="10"/>
        <rFont val="Noto Sans CJK SC"/>
        <family val="2"/>
      </rPr>
      <t>年</t>
    </r>
    <r>
      <rPr>
        <sz val="10"/>
        <rFont val="游ゴシック"/>
        <family val="3"/>
        <charset val="128"/>
      </rPr>
      <t>3</t>
    </r>
    <r>
      <rPr>
        <sz val="10"/>
        <rFont val="Noto Sans CJK SC"/>
        <family val="2"/>
      </rPr>
      <t>月の月別申請開始・締切・準備開始推奨日</t>
    </r>
  </si>
  <si>
    <t>⑤要注意区分</t>
  </si>
  <si>
    <t>早期締切／事前準備必須／併給制限／公募開始前／奨励金検索の見落としリスク</t>
  </si>
  <si>
    <t>⑥協会優先TOP10</t>
  </si>
  <si>
    <t>協会本部から加盟店へ周知すべき優先制度ランキング＋今すぐ着手すべき5アクション</t>
  </si>
  <si>
    <t>【ペルソナ定義】</t>
  </si>
  <si>
    <t>記号</t>
  </si>
  <si>
    <t>区分</t>
  </si>
  <si>
    <t>企業規模</t>
  </si>
  <si>
    <t>A</t>
  </si>
  <si>
    <t>個人事業主・1人親方</t>
  </si>
  <si>
    <t>年商1,000万円未満／従業員0名</t>
  </si>
  <si>
    <t>B</t>
  </si>
  <si>
    <t>小規模法人</t>
  </si>
  <si>
    <t>年商3,000万～1億円／従業員3～10名／施工＋営業</t>
  </si>
  <si>
    <t>C</t>
  </si>
  <si>
    <t>中規模法人</t>
  </si>
  <si>
    <t>年商1～5億円／従業員10～30名／管理部門あり</t>
  </si>
  <si>
    <t>D</t>
  </si>
  <si>
    <t>多店舗展開法人</t>
  </si>
  <si>
    <t>年商5億円以上／従業員30～50名／本社＋支店</t>
  </si>
  <si>
    <t>E</t>
  </si>
  <si>
    <t>スタートアップ加盟店</t>
  </si>
  <si>
    <t>創業3年以内</t>
  </si>
  <si>
    <r>
      <rPr>
        <b/>
        <sz val="14"/>
        <color rgb="FF1F4E78"/>
        <rFont val="游ゴシック"/>
        <family val="3"/>
        <charset val="128"/>
      </rPr>
      <t>JHCA</t>
    </r>
    <r>
      <rPr>
        <b/>
        <sz val="14"/>
        <color rgb="FF1F4E78"/>
        <rFont val="Noto Sans CJK SC"/>
        <family val="2"/>
      </rPr>
      <t>加盟店向け 補助金・助成金・奨励金・融資 制度マスタ一覧（</t>
    </r>
    <r>
      <rPr>
        <b/>
        <sz val="14"/>
        <color rgb="FF1F4E78"/>
        <rFont val="游ゴシック"/>
        <family val="3"/>
        <charset val="128"/>
      </rPr>
      <t>2026</t>
    </r>
    <r>
      <rPr>
        <b/>
        <sz val="14"/>
        <color rgb="FF1F4E78"/>
        <rFont val="Noto Sans CJK SC"/>
        <family val="2"/>
      </rPr>
      <t>年度／令和</t>
    </r>
    <r>
      <rPr>
        <b/>
        <sz val="14"/>
        <color rgb="FF1F4E78"/>
        <rFont val="游ゴシック"/>
        <family val="3"/>
        <charset val="128"/>
      </rPr>
      <t>8</t>
    </r>
    <r>
      <rPr>
        <b/>
        <sz val="14"/>
        <color rgb="FF1F4E78"/>
        <rFont val="Noto Sans CJK SC"/>
        <family val="2"/>
      </rPr>
      <t>年度）</t>
    </r>
    <r>
      <rPr>
        <b/>
        <sz val="14"/>
        <color rgb="FF1F4E78"/>
        <rFont val="游ゴシック"/>
        <family val="3"/>
        <charset val="128"/>
      </rPr>
      <t>v4.4</t>
    </r>
  </si>
  <si>
    <t>調査基準日：2026年4月25日／全件精査完了。重複制度を統合し制度名・可否を整合（全183件）2026/5/17</t>
  </si>
  <si>
    <t>No</t>
  </si>
  <si>
    <t>カテゴリ</t>
  </si>
  <si>
    <t>サブカテゴリ</t>
  </si>
  <si>
    <t>制度名</t>
  </si>
  <si>
    <t>公式URL</t>
  </si>
  <si>
    <t>ハイパーリンク</t>
  </si>
  <si>
    <t>実施主体</t>
  </si>
  <si>
    <t>業種要件</t>
  </si>
  <si>
    <t>対象規模</t>
  </si>
  <si>
    <t>補助上限額</t>
  </si>
  <si>
    <t>補助率</t>
  </si>
  <si>
    <t>申請開始日</t>
  </si>
  <si>
    <t>申請締切日</t>
  </si>
  <si>
    <t>主な要件</t>
  </si>
  <si>
    <r>
      <rPr>
        <b/>
        <sz val="11"/>
        <color rgb="FFFFFFFF"/>
        <rFont val="游ゴシック"/>
        <family val="3"/>
        <charset val="128"/>
      </rPr>
      <t>JHCA</t>
    </r>
    <r>
      <rPr>
        <b/>
        <sz val="11"/>
        <color rgb="FFFFFFFF"/>
        <rFont val="Noto Sans CJK SC"/>
        <family val="2"/>
      </rPr>
      <t>加盟店での活用例</t>
    </r>
  </si>
  <si>
    <t>推奨ペルソナ</t>
  </si>
  <si>
    <t>申請難易度</t>
  </si>
  <si>
    <t>最終確認日</t>
  </si>
  <si>
    <t>募集状況</t>
  </si>
  <si>
    <t>申請可否</t>
  </si>
  <si>
    <t>経営戦略系</t>
  </si>
  <si>
    <t>設備投資・生産性向上</t>
  </si>
  <si>
    <t>中小企業省力化投資補助金（カタログ注文型）</t>
  </si>
  <si>
    <t>https://shoryokuka.smrj.go.jp/catalog/</t>
  </si>
  <si>
    <t>中小機構</t>
  </si>
  <si>
    <t>全国</t>
  </si>
  <si>
    <t>不問</t>
  </si>
  <si>
    <t>中小企業（従業員数別）</t>
  </si>
  <si>
    <t>従業員5人以下500万(750万)／6-20人750万(1000万)／21人以上1000万(1500万) ※()は大幅賃上げ特例</t>
  </si>
  <si>
    <t>補助率1/2以下（従業員数別の定額上限）</t>
  </si>
  <si>
    <t>通年（複数回申請可）</t>
  </si>
  <si>
    <t>2027/3月末頃まで（予算上限で早期終了）</t>
  </si>
  <si>
    <t>カタログ掲載の汎用省力化製品を販売事業者と共同申請。2026/3/19制度改定（収益納付撤廃・20名以下上限引上げ・大幅賃上げ定義は給与+6%かつ最低賃金3.0%以上）</t>
  </si>
  <si>
    <t>自動床洗浄機、塗装ロボット等の現場移動式機材導入</t>
  </si>
  <si>
    <t>B,C,D</t>
  </si>
  <si>
    <t>易</t>
  </si>
  <si>
    <t>2026/05/17</t>
  </si>
  <si>
    <t>受付中（カタログ注文型・通年）</t>
  </si>
  <si>
    <t>受付中</t>
  </si>
  <si>
    <t>中小企業省力化投資補助金（一般型）（次回公募・第7回）</t>
  </si>
  <si>
    <t>https://shoryokuka.smrj.go.jp/ippan/schedule/</t>
  </si>
  <si>
    <t>中小企業</t>
  </si>
  <si>
    <t>従業員数別:5人以下750万／6-20人1,500万／21-50人3,000万／51-100人5,000万。大幅賃上げ特例で最大8,000万円</t>
  </si>
  <si>
    <t>1/2（小規模・再生2/3）。補助上限超過分1/3。大幅賃上げ特例で上限引上げ</t>
  </si>
  <si>
    <t>第7回は2026/6上旬公募開始予定（第6回は2026/5/15締切済）</t>
  </si>
  <si>
    <t>第7回 6月上旬公募開始・7月上旬受付開始・7月下旬締切予定（公式で要確認）</t>
  </si>
  <si>
    <t>オーダーメイドの省力化設備・システム構築。第7回は7月上旬申請受付・7月下旬締切予定。GビズIDプライム必須</t>
  </si>
  <si>
    <t>オーダーメイドの大型コーティング前処理装置・施工管理システム</t>
  </si>
  <si>
    <t>中</t>
  </si>
  <si>
    <t>第7回 6月上旬公募予定（要公式確認）</t>
  </si>
  <si>
    <t>次回公募待ち</t>
  </si>
  <si>
    <t>中堅・中小・スタートアップ企業の賃上げに向けた省力化等の大規模成長投資補助金（次回公募・第6次）</t>
  </si>
  <si>
    <t>https://seichotoushi-hojo.jp/</t>
  </si>
  <si>
    <t>経済産業省</t>
  </si>
  <si>
    <t>売上高100億円宣言企業向け</t>
  </si>
  <si>
    <t>最大50億円（補助率1/3）。予算総額4,121億円</t>
  </si>
  <si>
    <t>1/3</t>
  </si>
  <si>
    <t>第5次は2026/3/27締切済（採択6月下旬予定）</t>
  </si>
  <si>
    <t>第6次は第5次採択発表後に公募見込み（公式で要確認）</t>
  </si>
  <si>
    <t>中堅・中小・スタートアップ企業の工場等拠点新設・大規模設備投資。投資額10億円以上等。第5次から事務局がNRIに変更・スタートアップ追加。収益納付なし（賃上げ未達は返還）</t>
  </si>
  <si>
    <t>多店舗一括設備刷新（売上高100億円宣言企業向け）</t>
  </si>
  <si>
    <t>難</t>
  </si>
  <si>
    <t>第6次 採択発表後に公募見込み（要公式確認）</t>
  </si>
  <si>
    <t>販路開拓・マーケティング</t>
  </si>
  <si>
    <r>
      <rPr>
        <sz val="10"/>
        <rFont val="游ゴシック"/>
        <family val="3"/>
        <charset val="128"/>
      </rPr>
      <t>JAPAN</t>
    </r>
    <r>
      <rPr>
        <sz val="10"/>
        <rFont val="Noto Sans CJK SC"/>
        <family val="2"/>
      </rPr>
      <t>ブランド育成支援等事業</t>
    </r>
  </si>
  <si>
    <t>https://www.jetro.go.jp/services/japan_brand/</t>
  </si>
  <si>
    <t>JETRO</t>
  </si>
  <si>
    <t>中小企業（連携体）</t>
  </si>
  <si>
    <t>上限500万円</t>
  </si>
  <si>
    <t>2/3</t>
  </si>
  <si>
    <r>
      <rPr>
        <sz val="10"/>
        <rFont val="游ゴシック"/>
        <family val="3"/>
        <charset val="128"/>
      </rPr>
      <t>2026</t>
    </r>
    <r>
      <rPr>
        <sz val="10"/>
        <rFont val="Noto Sans CJK SC"/>
        <family val="2"/>
      </rPr>
      <t>年度内予定</t>
    </r>
  </si>
  <si>
    <t>中小企業の海外展開（ブランド確立・販路開拓）を支援する国の事業。年度により公募時期・枠組みが変動するため、申請時はJAPANブランド育成支援等事業の最新公式公募要領を必ず確認すること</t>
  </si>
  <si>
    <t>海外向けハイブランド住宅コーティング製品輸出</t>
  </si>
  <si>
    <t>C,D</t>
  </si>
  <si>
    <t>要公式確認（年度別公募）</t>
  </si>
  <si>
    <t>要公式確認</t>
  </si>
  <si>
    <t>人事・労務系</t>
  </si>
  <si>
    <t>雇用維持・採用</t>
  </si>
  <si>
    <t>特定求職者雇用開発助成金（特定就職困難者コース）</t>
  </si>
  <si>
    <t>https://www.mhlw.go.jp/stf/seisakunitsuite/bunya/0000202622.html</t>
  </si>
  <si>
    <t>厚生労働省</t>
  </si>
  <si>
    <t>雇用保険適用事業主</t>
  </si>
  <si>
    <r>
      <rPr>
        <sz val="10"/>
        <rFont val="游ゴシック"/>
        <family val="3"/>
        <charset val="128"/>
      </rPr>
      <t>1</t>
    </r>
    <r>
      <rPr>
        <sz val="10"/>
        <rFont val="Noto Sans CJK SC"/>
        <family val="2"/>
      </rPr>
      <t>人</t>
    </r>
    <r>
      <rPr>
        <sz val="10"/>
        <rFont val="游ゴシック"/>
        <family val="3"/>
        <charset val="128"/>
      </rPr>
      <t>60</t>
    </r>
    <r>
      <rPr>
        <sz val="10"/>
        <rFont val="Noto Sans CJK SC"/>
        <family val="2"/>
      </rPr>
      <t>万～</t>
    </r>
    <r>
      <rPr>
        <sz val="10"/>
        <rFont val="游ゴシック"/>
        <family val="3"/>
        <charset val="128"/>
      </rPr>
      <t>240</t>
    </r>
    <r>
      <rPr>
        <sz val="10"/>
        <rFont val="Noto Sans CJK SC"/>
        <family val="2"/>
      </rPr>
      <t>万円（中小・労働者区分別。重度障害者等は</t>
    </r>
    <r>
      <rPr>
        <sz val="10"/>
        <rFont val="游ゴシック"/>
        <family val="3"/>
        <charset val="128"/>
      </rPr>
      <t>3</t>
    </r>
    <r>
      <rPr>
        <sz val="10"/>
        <rFont val="Noto Sans CJK SC"/>
        <family val="2"/>
      </rPr>
      <t>年で総額</t>
    </r>
    <r>
      <rPr>
        <sz val="10"/>
        <rFont val="游ゴシック"/>
        <family val="3"/>
        <charset val="128"/>
      </rPr>
      <t>240</t>
    </r>
    <r>
      <rPr>
        <sz val="10"/>
        <rFont val="Noto Sans CJK SC"/>
        <family val="2"/>
      </rPr>
      <t>万円）</t>
    </r>
  </si>
  <si>
    <t>定額</t>
  </si>
  <si>
    <t>通年</t>
  </si>
  <si>
    <t>高年齢者・障害者・母子家庭の母等をハローワーク等の紹介で継続雇用。令和8年5月1日以降は60歳以上が個別支援を受けた者に要件見直し。令和8年4月以降申請は賃金台帳の提出必須（不足は不支給）</t>
  </si>
  <si>
    <t>高齢施工スタッフ・母子家庭の母をパート採用</t>
  </si>
  <si>
    <t>通年受付（半年ごと申請）</t>
  </si>
  <si>
    <t>特定求職者雇用開発助成金（中高年層安定雇用支援コース）</t>
  </si>
  <si>
    <r>
      <rPr>
        <sz val="10"/>
        <rFont val="游ゴシック"/>
        <family val="3"/>
        <charset val="128"/>
      </rPr>
      <t>1</t>
    </r>
    <r>
      <rPr>
        <sz val="10"/>
        <rFont val="Noto Sans CJK SC"/>
        <family val="2"/>
      </rPr>
      <t>人最大</t>
    </r>
    <r>
      <rPr>
        <sz val="10"/>
        <rFont val="游ゴシック"/>
        <family val="3"/>
        <charset val="128"/>
      </rPr>
      <t>120</t>
    </r>
    <r>
      <rPr>
        <sz val="10"/>
        <rFont val="Noto Sans CJK SC"/>
        <family val="2"/>
      </rPr>
      <t>万円</t>
    </r>
  </si>
  <si>
    <t>65歳未満の中高年齢層（一定の長期不安定雇用者等）をハローワーク等紹介で雇用。最新の対象者要件は労働局で要確認</t>
  </si>
  <si>
    <t>中高年の経験者を施工管理職として正社員雇用</t>
  </si>
  <si>
    <t>トライアル雇用助成金（一般トライアルコース）</t>
  </si>
  <si>
    <t>https://www.mhlw.go.jp/stf/seisakunitsuite/bunya/0000059415.html</t>
  </si>
  <si>
    <t>中小企業事業主</t>
  </si>
  <si>
    <t>月額最大4万円（母子家庭の母等・若者等は5万円）×原則3か月</t>
  </si>
  <si>
    <t>職業経験不足等で就職困難な求職者を無期雇用前提で試行雇用。ハローワーク等の紹介が必須</t>
  </si>
  <si>
    <t>未経験者の試用期間を経て正社員登用</t>
  </si>
  <si>
    <t>B,C,D,E</t>
  </si>
  <si>
    <t>通年受付</t>
  </si>
  <si>
    <t>建設労働者確保育成助成金（若年・女性建設労働者トライアルコース）</t>
  </si>
  <si>
    <t>https://www.mhlw.go.jp/stf/seisakunitsuite/bunya/koyou_roudou/koyou/kensetsu-kouwan/kensetsu-kaizen.html</t>
  </si>
  <si>
    <t>建設業（雇用保険建設業料率）</t>
  </si>
  <si>
    <t>中小建設事業主</t>
  </si>
  <si>
    <t>月額4万円×3か月</t>
  </si>
  <si>
    <t>若年・女性建設労働者のトライアル雇用。一般トライアル雇用助成金に加算。建設事業主が対象</t>
  </si>
  <si>
    <t>若手・女性のフロアコーティング職人を試行雇用</t>
  </si>
  <si>
    <t>雇用調整助成金</t>
  </si>
  <si>
    <t>https://www.mhlw.go.jp/stf/seisakunitsuite/bunya/koyou_roudou/koyou/kyufukin/pageL07.html</t>
  </si>
  <si>
    <t>休業手当等の2/3（中小）。1人1日上限あり（年度の雇調金上限額に準拠）</t>
  </si>
  <si>
    <r>
      <rPr>
        <sz val="10"/>
        <rFont val="游ゴシック"/>
        <family val="3"/>
        <charset val="128"/>
      </rPr>
      <t>2/3</t>
    </r>
    <r>
      <rPr>
        <sz val="10"/>
        <rFont val="Noto Sans CJK SC"/>
        <family val="2"/>
      </rPr>
      <t>（中小）</t>
    </r>
  </si>
  <si>
    <t>経済上の理由により事業活動縮小・休業等。労使協定・計画届が必要。令和8年度の上限額・要件は厚労省令和8年度資料で要確認</t>
  </si>
  <si>
    <t>繁閑差ある施工業の閑散期休業対応</t>
  </si>
  <si>
    <t>通年受付（休業前に計画届）</t>
  </si>
  <si>
    <r>
      <rPr>
        <sz val="10"/>
        <rFont val="游ゴシック"/>
        <family val="3"/>
        <charset val="128"/>
      </rPr>
      <t>65</t>
    </r>
    <r>
      <rPr>
        <sz val="10"/>
        <rFont val="Noto Sans CJK SC"/>
        <family val="2"/>
      </rPr>
      <t>歳超雇用推進助成金（高年齢者無期雇用転換コース）</t>
    </r>
  </si>
  <si>
    <t>https://www.jeed.go.jp/elderly/employer/josei/employer05.html</t>
  </si>
  <si>
    <r>
      <rPr>
        <sz val="10"/>
        <rFont val="游ゴシック"/>
        <family val="3"/>
        <charset val="128"/>
      </rPr>
      <t>JEED</t>
    </r>
    <r>
      <rPr>
        <sz val="10"/>
        <rFont val="Noto Sans CJK SC"/>
        <family val="2"/>
      </rPr>
      <t>（高齢・障害・求職者雇用支援機構）</t>
    </r>
  </si>
  <si>
    <t>対象労働者1人40万円（中小企業以外30万円）。1適用事業所10人まで</t>
  </si>
  <si>
    <t>定額（令和8年4月8日改正済）</t>
  </si>
  <si>
    <r>
      <rPr>
        <sz val="10"/>
        <rFont val="游ゴシック"/>
        <family val="3"/>
        <charset val="128"/>
      </rPr>
      <t>50</t>
    </r>
    <r>
      <rPr>
        <sz val="10"/>
        <rFont val="Noto Sans CJK SC"/>
        <family val="2"/>
      </rPr>
      <t>歳以上かつ定年年齢未満の有期契約労働者を無期雇用に転換。転換日までの有期雇用通算</t>
    </r>
    <r>
      <rPr>
        <sz val="10"/>
        <rFont val="游ゴシック"/>
        <family val="3"/>
        <charset val="128"/>
      </rPr>
      <t>1</t>
    </r>
    <r>
      <rPr>
        <sz val="10"/>
        <rFont val="Noto Sans CJK SC"/>
        <family val="2"/>
      </rPr>
      <t>年以上（</t>
    </r>
    <r>
      <rPr>
        <sz val="10"/>
        <rFont val="游ゴシック"/>
        <family val="3"/>
        <charset val="128"/>
      </rPr>
      <t>R8.4.8</t>
    </r>
    <r>
      <rPr>
        <sz val="10"/>
        <rFont val="Noto Sans CJK SC"/>
        <family val="2"/>
      </rPr>
      <t>改正で要件変更）</t>
    </r>
  </si>
  <si>
    <t>ベテラン職人の無期雇用化</t>
  </si>
  <si>
    <t>通年受付（予算枠あり）</t>
  </si>
  <si>
    <t>人材育成・研修</t>
  </si>
  <si>
    <t>人材開発支援助成金（人材育成支援コース）</t>
  </si>
  <si>
    <t>https://www.mhlw.go.jp/stf/seisakunitsuite/bunya/0000211293.html</t>
  </si>
  <si>
    <t>経費助成最大75%、賃金助成960円/h</t>
  </si>
  <si>
    <r>
      <rPr>
        <sz val="10"/>
        <rFont val="游ゴシック"/>
        <family val="3"/>
        <charset val="128"/>
      </rPr>
      <t>75%</t>
    </r>
    <r>
      <rPr>
        <sz val="10"/>
        <rFont val="Noto Sans CJK SC"/>
        <family val="2"/>
      </rPr>
      <t>（中小）</t>
    </r>
  </si>
  <si>
    <t>人材育成支援コース（OFF-JT等）。令和8年度に中高年齢者実習型訓練（仮称・45歳以上、経費助成60%・OJT10万円/人等）を新設予定。最新要領で要確認</t>
  </si>
  <si>
    <t>床コーティング新人技術研修、施工管理者OJT</t>
  </si>
  <si>
    <t>通年受付（計画届が必要）</t>
  </si>
  <si>
    <t>人材開発支援助成金（事業展開等リスキリング支援コース）</t>
  </si>
  <si>
    <t>経費助成最大75%、設備投資加算上限150万円（R8新設）</t>
  </si>
  <si>
    <t>事業展開・新分野展開等に伴うリスキリング訓練。令和8年度に対象訓練拡充・設備投資助成（助成率50%）新設予定</t>
  </si>
  <si>
    <r>
      <rPr>
        <sz val="10"/>
        <rFont val="游ゴシック"/>
        <family val="3"/>
        <charset val="128"/>
      </rPr>
      <t>AI</t>
    </r>
    <r>
      <rPr>
        <sz val="10"/>
        <rFont val="Noto Sans CJK SC"/>
        <family val="2"/>
      </rPr>
      <t>見積システム導入研修、抗菌新製品開発リスキリング</t>
    </r>
  </si>
  <si>
    <t>人材開発支援助成金（人への投資促進コース：R8最終年度）</t>
  </si>
  <si>
    <t>経費助成最大75%</t>
  </si>
  <si>
    <t>人への投資促進コース。令和8年度に長期教育訓練休暇等の手当支給助成を新設予定。本コースは令和8年度が最終年度の見込み（要公式確認）</t>
  </si>
  <si>
    <t>上級コーティング技術者の研修、IT高度人材育成</t>
  </si>
  <si>
    <t>通年受付（R8最終年度見込み）</t>
  </si>
  <si>
    <t>通年（最終年度見込み）</t>
  </si>
  <si>
    <t>人材開発支援助成金（建設労働者認定訓練コース）</t>
  </si>
  <si>
    <t>経費助成1/6＋賃金助成3,800円/日</t>
  </si>
  <si>
    <t>認定職業訓練の経費・賃金助成</t>
  </si>
  <si>
    <t>建設業認定訓練校での技能習得</t>
  </si>
  <si>
    <t>2026/04/25</t>
  </si>
  <si>
    <t>通年受付（要公式確認）</t>
  </si>
  <si>
    <t>通年（要確認）</t>
  </si>
  <si>
    <t>人材開発支援助成金（建設労働者技能実習コース）</t>
  </si>
  <si>
    <t>経費助成最大9/10＋賃金助成8,550円/日</t>
  </si>
  <si>
    <r>
      <rPr>
        <sz val="10"/>
        <rFont val="游ゴシック"/>
        <family val="3"/>
        <charset val="128"/>
      </rPr>
      <t>9/10</t>
    </r>
    <r>
      <rPr>
        <sz val="10"/>
        <rFont val="Noto Sans CJK SC"/>
        <family val="2"/>
      </rPr>
      <t>（中小）</t>
    </r>
  </si>
  <si>
    <t>建設技能労働者の技能向上・安全教育（足場特別教育等）</t>
  </si>
  <si>
    <t>足場特別教育、玉掛技能講習、抗菌施工資格取得</t>
  </si>
  <si>
    <t>教育訓練給付制度（事業主活用）</t>
  </si>
  <si>
    <t>https://www.mhlw.go.jp/stf/seisakunitsuite/bunya/koyou_roudou/jinzaikaihatsu/index_00040.html</t>
  </si>
  <si>
    <t>雇用保険被保険者個人</t>
  </si>
  <si>
    <t>受講費用最大80%（一般20%）</t>
  </si>
  <si>
    <r>
      <rPr>
        <sz val="10"/>
        <rFont val="游ゴシック"/>
        <family val="3"/>
        <charset val="128"/>
      </rPr>
      <t>20-80%</t>
    </r>
    <r>
      <rPr>
        <sz val="10"/>
        <rFont val="Noto Sans CJK SC"/>
        <family val="2"/>
      </rPr>
      <t>（個人）</t>
    </r>
  </si>
  <si>
    <t>厚労大臣指定の教育訓練を従業員が受講。一般20%・特定一般40%・専門実践最大80%（本人給付が基本。事業主の人材開発支援助成金と区別）</t>
  </si>
  <si>
    <t>施工管理技士・建築施工管理技術検定の受講推奨</t>
  </si>
  <si>
    <t>A,B,C,D,E</t>
  </si>
  <si>
    <t>通年（指定講座対象）</t>
  </si>
  <si>
    <t>キャリアアップ・処遇改善</t>
  </si>
  <si>
    <t>キャリアアップ助成金（正社員化コース）</t>
  </si>
  <si>
    <t>https://www.mhlw.go.jp/stf/seisakunitsuite/bunya/koyou_roudou/part_haken/jigyounushi/career.html</t>
  </si>
  <si>
    <t>重点支援対象者:1人最大80万円(40万×2期)／重点外:有期→正社員40万円(1期)。情報公表加算20万円(大企業15万)等で最大140万円規模</t>
  </si>
  <si>
    <t>定額（中小。令和8年4月8日 情報公表加算を新設）</t>
  </si>
  <si>
    <t>有期等を正社員転換。重点支援対象者=雇用3年以上の有期等／不安定雇用者／派遣・母子父子・人材開発助成特定訓練修了者。計画書は届出制（取組前日まで）。新規学卒1年未満は対象外</t>
  </si>
  <si>
    <t>施工スタッフのアルバイト・契約社員→正社員化</t>
  </si>
  <si>
    <t>A,B,C,D</t>
  </si>
  <si>
    <t>通年受付（年20人まで）</t>
  </si>
  <si>
    <t>キャリアアップ助成金（賃金規定等改定コース）</t>
  </si>
  <si>
    <t>引上げ率に応じ4区分（令和7年度から2→4区分細分化）。中小最大7万円/人＋職務評価加算20万円</t>
  </si>
  <si>
    <t>有期等の基本給を3%以上増額改定。1年度1事業所100人まで。増額前3か月以上在籍＋増額後6か月以上継続雇用</t>
  </si>
  <si>
    <t>パート・アルバイトの時給アップ</t>
  </si>
  <si>
    <t>通年受付（年100人まで）</t>
  </si>
  <si>
    <t>キャリアアップ助成金（賞与・退職金制度導入コース）</t>
  </si>
  <si>
    <r>
      <rPr>
        <sz val="10"/>
        <rFont val="游ゴシック"/>
        <family val="3"/>
        <charset val="128"/>
      </rPr>
      <t>1</t>
    </r>
    <r>
      <rPr>
        <sz val="10"/>
        <rFont val="Noto Sans CJK SC"/>
        <family val="2"/>
      </rPr>
      <t>事業所</t>
    </r>
    <r>
      <rPr>
        <sz val="10"/>
        <rFont val="游ゴシック"/>
        <family val="3"/>
        <charset val="128"/>
      </rPr>
      <t>40</t>
    </r>
    <r>
      <rPr>
        <sz val="10"/>
        <rFont val="Noto Sans CJK SC"/>
        <family val="2"/>
      </rPr>
      <t>万円（中小）</t>
    </r>
  </si>
  <si>
    <t>有期等に賞与または退職金制度を新設し支給・積立。1事業所1回。賞与退職金両方で加算</t>
  </si>
  <si>
    <t>パート・契約社員に退職金制度導入</t>
  </si>
  <si>
    <t>キャリアアップ助成金（短時間労働者労働時間延長支援コース）</t>
  </si>
  <si>
    <t>社会保険適用に伴う労働時間延長・手当支給。中小最大。小規模事業主は手厚い区分</t>
  </si>
  <si>
    <t>『年収の壁』対策。短時間労働者の所定労働時間延長等で社会保険適用。旧『社会保険適用時処遇改善コース』は令和8/3/31で新規終了、本コースへ移行</t>
  </si>
  <si>
    <t>短時間パートの労働時間延長と社保加入</t>
  </si>
  <si>
    <t>通年受付（年収の壁対策）</t>
  </si>
  <si>
    <t>業務改善助成金（令和8年度）</t>
  </si>
  <si>
    <t>https://www.mhlw.go.jp/stf/seisakunitsuite/bunya/koyou_roudou/roudoukijun/zigyonushi/shienjigyou/03.html</t>
  </si>
  <si>
    <t>中小・小規模事業主</t>
  </si>
  <si>
    <t>最大600万円（事業主単位の年間上限）</t>
  </si>
  <si>
    <r>
      <rPr>
        <sz val="10"/>
        <rFont val="游ゴシック"/>
        <family val="3"/>
        <charset val="128"/>
      </rPr>
      <t>4/5</t>
    </r>
    <r>
      <rPr>
        <sz val="10"/>
        <rFont val="Noto Sans CJK SC"/>
        <family val="2"/>
      </rPr>
      <t>（事業場内最低賃金</t>
    </r>
    <r>
      <rPr>
        <sz val="10"/>
        <rFont val="游ゴシック"/>
        <family val="3"/>
        <charset val="128"/>
      </rPr>
      <t>1,050</t>
    </r>
    <r>
      <rPr>
        <sz val="10"/>
        <rFont val="Noto Sans CJK SC"/>
        <family val="2"/>
      </rPr>
      <t>円未満）／</t>
    </r>
    <r>
      <rPr>
        <sz val="10"/>
        <rFont val="游ゴシック"/>
        <family val="3"/>
        <charset val="128"/>
      </rPr>
      <t>3/4</t>
    </r>
    <r>
      <rPr>
        <sz val="10"/>
        <rFont val="Noto Sans CJK SC"/>
        <family val="2"/>
      </rPr>
      <t>（</t>
    </r>
    <r>
      <rPr>
        <sz val="10"/>
        <rFont val="游ゴシック"/>
        <family val="3"/>
        <charset val="128"/>
      </rPr>
      <t>1,050</t>
    </r>
    <r>
      <rPr>
        <sz val="10"/>
        <rFont val="Noto Sans CJK SC"/>
        <family val="2"/>
      </rPr>
      <t>円以上）</t>
    </r>
  </si>
  <si>
    <t>2026/09/01</t>
  </si>
  <si>
    <r>
      <rPr>
        <sz val="10"/>
        <rFont val="游ゴシック"/>
        <family val="3"/>
        <charset val="128"/>
      </rPr>
      <t xml:space="preserve">2026/11/30 or </t>
    </r>
    <r>
      <rPr>
        <sz val="10"/>
        <rFont val="Noto Sans CJK SC"/>
        <family val="2"/>
      </rPr>
      <t>地域別最賃発効前日</t>
    </r>
  </si>
  <si>
    <t>事業場内最賃50円・70円・90円の3コース（30円・45円コース廃止）。事業場内最賃が地域別最賃未満まで対象拡充。同一事業主は複数事業場でも年間上限600万円</t>
  </si>
  <si>
    <t>賃上げと同時に施工効率化機器（自動研磨機・乾燥促進装置）導入</t>
  </si>
  <si>
    <t>A,B,C</t>
  </si>
  <si>
    <t>要公式確認（2026/5/17時点未精査）</t>
  </si>
  <si>
    <t>賃上げ促進税制（中小企業向け）</t>
  </si>
  <si>
    <t>https://www.meti.go.jp/policy/economy/jinzai/syotokukakudaisokushin/syotokukakudai.html</t>
  </si>
  <si>
    <t>経済産業省・中小企業庁</t>
  </si>
  <si>
    <t>中小企業者等</t>
  </si>
  <si>
    <t>最大35%税額控除（令和8年度改正で教育訓練費上乗せ10%廃止）</t>
  </si>
  <si>
    <t>15-35%</t>
  </si>
  <si>
    <r>
      <rPr>
        <sz val="10"/>
        <rFont val="游ゴシック"/>
        <family val="3"/>
        <charset val="128"/>
      </rPr>
      <t>2027/03/31</t>
    </r>
    <r>
      <rPr>
        <sz val="10"/>
        <rFont val="Noto Sans CJK SC"/>
        <family val="2"/>
      </rPr>
      <t>までに開始する事業年度</t>
    </r>
  </si>
  <si>
    <t>賃上げ1.5%で15%控除、2.5%で30%控除、＋えるぼし/くるみん認定で5%＝最大35%。教育訓練費上乗せ措置は令和8年度改正で廃止。繰越控除5年</t>
  </si>
  <si>
    <t>賃上げを実施した黒字事業者は法人税控除</t>
  </si>
  <si>
    <t>働き方改革・両立支援</t>
  </si>
  <si>
    <t>両立支援等助成金（出生時両立支援コース）</t>
  </si>
  <si>
    <t>https://www.mhlw.go.jp/stf/seisakunitsuite/bunya/kodomo/shokuba_kosodate/ryouritsu01/index.html</t>
  </si>
  <si>
    <t>中小企業（常時雇用300人以下に拡大）</t>
  </si>
  <si>
    <r>
      <rPr>
        <sz val="10"/>
        <rFont val="游ゴシック"/>
        <family val="3"/>
        <charset val="128"/>
      </rPr>
      <t>1</t>
    </r>
    <r>
      <rPr>
        <sz val="10"/>
        <rFont val="Noto Sans CJK SC"/>
        <family val="2"/>
      </rPr>
      <t>人最大</t>
    </r>
    <r>
      <rPr>
        <sz val="10"/>
        <rFont val="游ゴシック"/>
        <family val="3"/>
        <charset val="128"/>
      </rPr>
      <t>28.5</t>
    </r>
    <r>
      <rPr>
        <sz val="10"/>
        <rFont val="Noto Sans CJK SC"/>
        <family val="2"/>
      </rPr>
      <t>万円</t>
    </r>
  </si>
  <si>
    <t>男性の育児休業取得促進（出生時両立支援）。中小向け。第1種・第2種等。最新加算は要確認</t>
  </si>
  <si>
    <t>男性施工スタッフの育児休業取得</t>
  </si>
  <si>
    <t>両立支援等助成金（介護離職防止支援コース）</t>
  </si>
  <si>
    <t>介護離職防止。令和8年度に取得・復帰支援で40万円→60万円に増額予定</t>
  </si>
  <si>
    <t>介護休業の円滑な取得・職場復帰支援。介護両立支援制度の利用等。令和8年度拡充予定</t>
  </si>
  <si>
    <t>親の介護を理由に離職予定の従業員の継続雇用</t>
  </si>
  <si>
    <t>両立支援等助成金（育児休業等支援コース）</t>
  </si>
  <si>
    <t>https://jsite.mhlw.go.jp/tokyo-roudoukyoku/newpage_00335.html</t>
  </si>
  <si>
    <r>
      <rPr>
        <sz val="10"/>
        <rFont val="游ゴシック"/>
        <family val="3"/>
        <charset val="128"/>
      </rPr>
      <t>1</t>
    </r>
    <r>
      <rPr>
        <sz val="10"/>
        <rFont val="Noto Sans CJK SC"/>
        <family val="2"/>
      </rPr>
      <t>人最大</t>
    </r>
    <r>
      <rPr>
        <sz val="10"/>
        <rFont val="游ゴシック"/>
        <family val="3"/>
        <charset val="128"/>
      </rPr>
      <t>72</t>
    </r>
    <r>
      <rPr>
        <sz val="10"/>
        <rFont val="Noto Sans CJK SC"/>
        <family val="2"/>
      </rPr>
      <t>万円</t>
    </r>
  </si>
  <si>
    <t>育児休業の取得・復帰支援。中小事業主向け。育休復帰支援プラン等</t>
  </si>
  <si>
    <t>女性施工スタッフの育休取得・復帰支援</t>
  </si>
  <si>
    <t>両立支援等助成金（育休中等業務代替支援コース）</t>
  </si>
  <si>
    <t>育休中等の業務代替支援。令和8年度に最長1年以上で最大99万円に増額予定（令和7年度82.5万円）。プラチナくるみんは割増</t>
  </si>
  <si>
    <t>育休・短時間勤務中の業務を代替する体制整備（手当支給・新規雇用）。令和8年度拡充予定</t>
  </si>
  <si>
    <t>育休中の代替要員確保による施工現場継続</t>
  </si>
  <si>
    <t>両立支援等助成金（柔軟な働き方選択制度等支援コース）</t>
  </si>
  <si>
    <r>
      <rPr>
        <sz val="10"/>
        <rFont val="游ゴシック"/>
        <family val="3"/>
        <charset val="128"/>
      </rPr>
      <t>1</t>
    </r>
    <r>
      <rPr>
        <sz val="10"/>
        <rFont val="Noto Sans CJK SC"/>
        <family val="2"/>
      </rPr>
      <t>人最大</t>
    </r>
    <r>
      <rPr>
        <sz val="10"/>
        <rFont val="游ゴシック"/>
        <family val="3"/>
        <charset val="128"/>
      </rPr>
      <t>60</t>
    </r>
    <r>
      <rPr>
        <sz val="10"/>
        <rFont val="Noto Sans CJK SC"/>
        <family val="2"/>
      </rPr>
      <t>万円</t>
    </r>
  </si>
  <si>
    <t>柔軟な働き方選択制度（フレックス・在宅・短時間等）の導入・利用。中小向け</t>
  </si>
  <si>
    <t>見積・経理担当のテレワーク制度導入</t>
  </si>
  <si>
    <t>両立支援等助成金（不妊治療及び女性の健康課題対応両立支援コース）</t>
  </si>
  <si>
    <r>
      <rPr>
        <sz val="10"/>
        <rFont val="游ゴシック"/>
        <family val="3"/>
        <charset val="128"/>
      </rPr>
      <t>1</t>
    </r>
    <r>
      <rPr>
        <sz val="10"/>
        <rFont val="Noto Sans CJK SC"/>
        <family val="2"/>
      </rPr>
      <t>事業所</t>
    </r>
    <r>
      <rPr>
        <sz val="10"/>
        <rFont val="游ゴシック"/>
        <family val="3"/>
        <charset val="128"/>
      </rPr>
      <t>30</t>
    </r>
    <r>
      <rPr>
        <sz val="10"/>
        <rFont val="Noto Sans CJK SC"/>
        <family val="2"/>
      </rPr>
      <t>万円</t>
    </r>
  </si>
  <si>
    <t>不妊治療・女性の健康課題に対応する両立支援制度の導入・利用。1事業所単位</t>
  </si>
  <si>
    <t>女性スタッフの治療と仕事の両立制度整備</t>
  </si>
  <si>
    <t>働き方改革推進支援助成金（業種別課題対応コース・建設業）</t>
  </si>
  <si>
    <t>https://www.mhlw.go.jp/stf/seisakunitsuite/bunya/0000120692_00001.html</t>
  </si>
  <si>
    <t>建設業</t>
  </si>
  <si>
    <t>上限250万円～、賃金加算最大720万円</t>
  </si>
  <si>
    <t>3/4</t>
  </si>
  <si>
    <t>建設業等の業種別課題対応（時間外削減・週休2日等）。令和8年度に所定外労働削減の新設(100万円・10H以上)等。最新要領で要確認</t>
  </si>
  <si>
    <t>施工スタッフの労働時間短縮、週休2日制導入</t>
  </si>
  <si>
    <t>働き方改革推進支援助成金（労働時間短縮・年休促進支援コース）</t>
  </si>
  <si>
    <t>https://www.mhlw.go.jp/stf/seisakunitsuite/bunya/0000120692.html</t>
  </si>
  <si>
    <t>上限490万円</t>
  </si>
  <si>
    <t>時間外労働削減・年次有給休暇促進の環境整備。令和8年度概算要求で拡充方向。最新要領で要確認</t>
  </si>
  <si>
    <t>施工管理者の労働時間管理ソフト導入</t>
  </si>
  <si>
    <t>働き方改革推進支援助成金（勤務間インターバル導入コース）</t>
  </si>
  <si>
    <t>勤務間インターバル導入。11時間以上で上限額拡充（令和8年度）</t>
  </si>
  <si>
    <t>勤務間インターバル制度の新規導入・適用拡大。令和8年度に上限拡充見込み。最新要領で要確認</t>
  </si>
  <si>
    <t>施工終了から翌日開始までのインターバル時間確保</t>
  </si>
  <si>
    <t>働き方改革推進支援助成金（取引環境改善コース）</t>
  </si>
  <si>
    <t>上限100万円（荷待ち時間削減等。令和8年度新設）</t>
  </si>
  <si>
    <t>公式発表待ち</t>
  </si>
  <si>
    <t>令和8年度新設（仮称含む）。発注者・受注者間の取引環境改善・荷待ち時間削減等。公募詳細は厚労省令和8年度資料で要確認</t>
  </si>
  <si>
    <r>
      <rPr>
        <sz val="10"/>
        <rFont val="游ゴシック"/>
        <family val="3"/>
        <charset val="128"/>
      </rPr>
      <t>BtoB</t>
    </r>
    <r>
      <rPr>
        <sz val="10"/>
        <rFont val="Noto Sans CJK SC"/>
        <family val="2"/>
      </rPr>
      <t>取引における工期適正化</t>
    </r>
  </si>
  <si>
    <t>令和8年度新設（要公式確認）</t>
  </si>
  <si>
    <t>総務・福利厚生系</t>
  </si>
  <si>
    <t>健康経営・安全衛生</t>
  </si>
  <si>
    <t>エイジフレンドリー補助金（令和8年度）</t>
  </si>
  <si>
    <t>https://www.mhlw.go.jp/stf/newpage_09940.html</t>
  </si>
  <si>
    <r>
      <rPr>
        <sz val="10"/>
        <rFont val="游ゴシック"/>
        <family val="3"/>
        <charset val="128"/>
      </rPr>
      <t>60</t>
    </r>
    <r>
      <rPr>
        <sz val="10"/>
        <rFont val="Noto Sans CJK SC"/>
        <family val="2"/>
      </rPr>
      <t>歳以上労働者を雇用する中小事業者</t>
    </r>
  </si>
  <si>
    <t>上限100万円（補助率1/2）。令和8年度予算9.5～9.8億円（前年度比約1.3倍）</t>
  </si>
  <si>
    <r>
      <rPr>
        <sz val="10"/>
        <rFont val="游ゴシック"/>
        <family val="3"/>
        <charset val="128"/>
      </rPr>
      <t>1/2</t>
    </r>
    <r>
      <rPr>
        <sz val="10"/>
        <rFont val="Noto Sans CJK SC"/>
        <family val="2"/>
      </rPr>
      <t>（上限</t>
    </r>
    <r>
      <rPr>
        <sz val="10"/>
        <rFont val="游ゴシック"/>
        <family val="3"/>
        <charset val="128"/>
      </rPr>
      <t>100</t>
    </r>
    <r>
      <rPr>
        <sz val="10"/>
        <rFont val="Noto Sans CJK SC"/>
        <family val="2"/>
      </rPr>
      <t>万円）</t>
    </r>
  </si>
  <si>
    <t>例年5月頃公募（令和8年度要領は5月中旬頃公表見込み）</t>
  </si>
  <si>
    <t>先着順・予算上限到達で締切</t>
  </si>
  <si>
    <t>令和8年度は複数コース統合・専門家リスクアセスメント前提化。『熱中症対策コース』新設（体温を下げる服等）。60歳以上の労災保険適用労働者が常時1名以上・1年以上事業実施の中小。交付決定前購入は対象外</t>
  </si>
  <si>
    <t>床滑り止め改善、手すり設置、休憩所改善、熱中症対策ウェアラブル</t>
  </si>
  <si>
    <t>令和8年度公募準備中（5月中旬頃）</t>
  </si>
  <si>
    <t>まもなく公募</t>
  </si>
  <si>
    <t>受動喫煙防止対策助成金（R8継続未確定）</t>
  </si>
  <si>
    <t>https://www.mhlw.go.jp/stf/seisakunitsuite/bunya/0000049868.html</t>
  </si>
  <si>
    <t>上限100万円（飲食店2/3、その他1/2）</t>
  </si>
  <si>
    <t>1/2-2/3</t>
  </si>
  <si>
    <t>受動喫煙防止のための喫煙専用室設置等。令和8年度の継続・要件は厚労省公式で要確認（近年は縮小傾向）</t>
  </si>
  <si>
    <t>事業所内の喫煙室設置工事</t>
  </si>
  <si>
    <t>令和8年度 要公式確認</t>
  </si>
  <si>
    <r>
      <rPr>
        <sz val="10"/>
        <rFont val="游ゴシック"/>
        <family val="3"/>
        <charset val="128"/>
      </rPr>
      <t>SECURITY ACTION</t>
    </r>
    <r>
      <rPr>
        <sz val="10"/>
        <rFont val="Noto Sans CJK SC"/>
        <family val="2"/>
      </rPr>
      <t>（</t>
    </r>
    <r>
      <rPr>
        <sz val="10"/>
        <rFont val="游ゴシック"/>
        <family val="3"/>
        <charset val="128"/>
      </rPr>
      <t>IT</t>
    </r>
    <r>
      <rPr>
        <sz val="10"/>
        <rFont val="Noto Sans CJK SC"/>
        <family val="2"/>
      </rPr>
      <t>導入補助金前提要件）</t>
    </r>
  </si>
  <si>
    <t>https://www.ipa.go.jp/security/security-action/index.html</t>
  </si>
  <si>
    <r>
      <rPr>
        <sz val="10"/>
        <rFont val="游ゴシック"/>
        <family val="3"/>
        <charset val="128"/>
      </rPr>
      <t>IPA</t>
    </r>
    <r>
      <rPr>
        <sz val="10"/>
        <rFont val="Noto Sans CJK SC"/>
        <family val="2"/>
      </rPr>
      <t>（独立行政法人情報処理推進機構）</t>
    </r>
  </si>
  <si>
    <t>無料（自己宣言）</t>
  </si>
  <si>
    <t>ー</t>
  </si>
  <si>
    <t>IPAのセキュリティ自己宣言。デジタル化・AI導入補助金等の申請前提要件。一段階目・二段階目あり</t>
  </si>
  <si>
    <t>情報セキュリティ自己宣言（★または★★）</t>
  </si>
  <si>
    <t>通年（随時宣言可）</t>
  </si>
  <si>
    <t>福利厚生・退職金</t>
  </si>
  <si>
    <t>中小企業退職金共済（中退共）</t>
  </si>
  <si>
    <t>https://chutaikyo.taisyokukin.go.jp/</t>
  </si>
  <si>
    <t>勤労者退職金共済機構</t>
  </si>
  <si>
    <t>新規加入：掛金月額の1/2を1年間（上限5,000円/人）。掛金月5千～3万円</t>
  </si>
  <si>
    <t>中小企業退職金共済。中小機構運営。新規加入助成・月額変更助成あり。掛金は損金算入可。加入は通年</t>
  </si>
  <si>
    <t>全従業員の退職金準備</t>
  </si>
  <si>
    <t>通年加入受付</t>
  </si>
  <si>
    <t>建設業退職金共済（建退共）</t>
  </si>
  <si>
    <t>https://www.kenntaikyou.com/</t>
  </si>
  <si>
    <t>建設事業主</t>
  </si>
  <si>
    <t>共済証紙方式または電子申請方式。掛金日額320円（令和元年改定）</t>
  </si>
  <si>
    <t>建設業退職金共済。建設業の現場労働者向け。元請が証紙を購入し技能者の共済手帳に貼付。電子申請方式（建退共電子申請）が進展。地方自治体の補助制度がある場合あり</t>
  </si>
  <si>
    <t>建設業許可保有加盟店の必須加入</t>
  </si>
  <si>
    <t>小規模企業共済</t>
  </si>
  <si>
    <t>https://www.smrj.go.jp/skyosai/</t>
  </si>
  <si>
    <t>個人事業主・小規模法人役員</t>
  </si>
  <si>
    <t>掛金月額1,000～70,000円（全額所得控除）。共済金は一括/分割受取</t>
  </si>
  <si>
    <t>小規模企業の経営者・役員・個人事業主の退職金制度。中小機構運営。従業員数要件あり（業種別）。掛金全額が所得控除。加入は通年</t>
  </si>
  <si>
    <t>経営者・役員の退職金準備、節税効果</t>
  </si>
  <si>
    <t>A,B,E</t>
  </si>
  <si>
    <r>
      <rPr>
        <sz val="10"/>
        <rFont val="游ゴシック"/>
        <family val="3"/>
        <charset val="128"/>
      </rPr>
      <t>DX</t>
    </r>
    <r>
      <rPr>
        <sz val="10"/>
        <rFont val="Noto Sans CJK SC"/>
        <family val="2"/>
      </rPr>
      <t>・</t>
    </r>
    <r>
      <rPr>
        <sz val="10"/>
        <rFont val="游ゴシック"/>
        <family val="3"/>
        <charset val="128"/>
      </rPr>
      <t>IT</t>
    </r>
    <r>
      <rPr>
        <sz val="10"/>
        <rFont val="Noto Sans CJK SC"/>
        <family val="2"/>
      </rPr>
      <t>・財務系</t>
    </r>
  </si>
  <si>
    <r>
      <rPr>
        <sz val="10"/>
        <rFont val="游ゴシック"/>
        <family val="3"/>
        <charset val="128"/>
      </rPr>
      <t>IT</t>
    </r>
    <r>
      <rPr>
        <sz val="10"/>
        <rFont val="Noto Sans CJK SC"/>
        <family val="2"/>
      </rPr>
      <t>・デジタル化</t>
    </r>
  </si>
  <si>
    <t>デジタル化・AI導入補助金2026（旧IT導入補助金 通常枠）</t>
  </si>
  <si>
    <t>https://it-shien.smrj.go.jp/</t>
  </si>
  <si>
    <t>中小企業庁（事務局：中小機構）</t>
  </si>
  <si>
    <t>中小企業・小規模事業者</t>
  </si>
  <si>
    <r>
      <rPr>
        <sz val="10"/>
        <rFont val="游ゴシック"/>
        <family val="3"/>
        <charset val="128"/>
      </rPr>
      <t>1</t>
    </r>
    <r>
      <rPr>
        <sz val="10"/>
        <rFont val="Noto Sans CJK SC"/>
        <family val="2"/>
      </rPr>
      <t>～</t>
    </r>
    <r>
      <rPr>
        <sz val="10"/>
        <rFont val="游ゴシック"/>
        <family val="3"/>
        <charset val="128"/>
      </rPr>
      <t>3</t>
    </r>
    <r>
      <rPr>
        <sz val="10"/>
        <rFont val="Noto Sans CJK SC"/>
        <family val="2"/>
      </rPr>
      <t>プロセス</t>
    </r>
    <r>
      <rPr>
        <sz val="10"/>
        <rFont val="游ゴシック"/>
        <family val="3"/>
        <charset val="128"/>
      </rPr>
      <t>:5</t>
    </r>
    <r>
      <rPr>
        <sz val="10"/>
        <rFont val="Noto Sans CJK SC"/>
        <family val="2"/>
      </rPr>
      <t>万～</t>
    </r>
    <r>
      <rPr>
        <sz val="10"/>
        <rFont val="游ゴシック"/>
        <family val="3"/>
        <charset val="128"/>
      </rPr>
      <t>150</t>
    </r>
    <r>
      <rPr>
        <sz val="10"/>
        <rFont val="Noto Sans CJK SC"/>
        <family val="2"/>
      </rPr>
      <t>万円未満／</t>
    </r>
    <r>
      <rPr>
        <sz val="10"/>
        <rFont val="游ゴシック"/>
        <family val="3"/>
        <charset val="128"/>
      </rPr>
      <t>4</t>
    </r>
    <r>
      <rPr>
        <sz val="10"/>
        <rFont val="Noto Sans CJK SC"/>
        <family val="2"/>
      </rPr>
      <t>プロセス以上</t>
    </r>
    <r>
      <rPr>
        <sz val="10"/>
        <rFont val="游ゴシック"/>
        <family val="3"/>
        <charset val="128"/>
      </rPr>
      <t>:150</t>
    </r>
    <r>
      <rPr>
        <sz val="10"/>
        <rFont val="Noto Sans CJK SC"/>
        <family val="2"/>
      </rPr>
      <t>万～</t>
    </r>
    <r>
      <rPr>
        <sz val="10"/>
        <rFont val="游ゴシック"/>
        <family val="3"/>
        <charset val="128"/>
      </rPr>
      <t>450</t>
    </r>
    <r>
      <rPr>
        <sz val="10"/>
        <rFont val="Noto Sans CJK SC"/>
        <family val="2"/>
      </rPr>
      <t>万円</t>
    </r>
  </si>
  <si>
    <r>
      <rPr>
        <sz val="10"/>
        <rFont val="游ゴシック"/>
        <family val="3"/>
        <charset val="128"/>
      </rPr>
      <t>1/2</t>
    </r>
    <r>
      <rPr>
        <sz val="10"/>
        <rFont val="Noto Sans CJK SC"/>
        <family val="2"/>
      </rPr>
      <t>以内（最低賃金近傍の事業者</t>
    </r>
    <r>
      <rPr>
        <sz val="10"/>
        <rFont val="游ゴシック"/>
        <family val="3"/>
        <charset val="128"/>
      </rPr>
      <t>2/3</t>
    </r>
    <r>
      <rPr>
        <sz val="10"/>
        <rFont val="Noto Sans CJK SC"/>
        <family val="2"/>
      </rPr>
      <t>以内）</t>
    </r>
  </si>
  <si>
    <t>交付申請2026/3/30開始</t>
  </si>
  <si>
    <t>年複数回締切（第4次締切分まで公表。予算消化型）</t>
  </si>
  <si>
    <t>旧IT導入補助金が令和7年度補正でデジタル化・AI導入補助金に名称変更。業務プロセスのデジタル化。IT導入支援事業者と連携申請（単独申請不可）。GビズID必須。過去交付者は2回目以降3年事業計画策定が必要</t>
  </si>
  <si>
    <t>見積・請求クラウド化、現場管理アプリ、CAD・図面ソフト</t>
  </si>
  <si>
    <t>受付中（2026/3/30開始・年複数回）</t>
  </si>
  <si>
    <t>デジタル化・AI導入補助金2026（インボイス対応類型）</t>
  </si>
  <si>
    <t>ITツール～350万円（2機能以上）／PC等～10万円／レジ等～20万円</t>
  </si>
  <si>
    <r>
      <rPr>
        <sz val="10"/>
        <rFont val="游ゴシック"/>
        <family val="3"/>
        <charset val="128"/>
      </rPr>
      <t>50</t>
    </r>
    <r>
      <rPr>
        <sz val="10"/>
        <rFont val="Noto Sans CJK SC"/>
        <family val="2"/>
      </rPr>
      <t>万円以下</t>
    </r>
    <r>
      <rPr>
        <sz val="10"/>
        <rFont val="游ゴシック"/>
        <family val="3"/>
        <charset val="128"/>
      </rPr>
      <t>3/4(</t>
    </r>
    <r>
      <rPr>
        <sz val="10"/>
        <rFont val="Noto Sans CJK SC"/>
        <family val="2"/>
      </rPr>
      <t>小規模</t>
    </r>
    <r>
      <rPr>
        <sz val="10"/>
        <rFont val="游ゴシック"/>
        <family val="3"/>
        <charset val="128"/>
      </rPr>
      <t>4/5)</t>
    </r>
    <r>
      <rPr>
        <sz val="10"/>
        <rFont val="Noto Sans CJK SC"/>
        <family val="2"/>
      </rPr>
      <t>・</t>
    </r>
    <r>
      <rPr>
        <sz val="10"/>
        <rFont val="游ゴシック"/>
        <family val="3"/>
        <charset val="128"/>
      </rPr>
      <t>50</t>
    </r>
    <r>
      <rPr>
        <sz val="10"/>
        <rFont val="Noto Sans CJK SC"/>
        <family val="2"/>
      </rPr>
      <t>万超</t>
    </r>
    <r>
      <rPr>
        <sz val="10"/>
        <rFont val="游ゴシック"/>
        <family val="3"/>
        <charset val="128"/>
      </rPr>
      <t>350</t>
    </r>
    <r>
      <rPr>
        <sz val="10"/>
        <rFont val="Noto Sans CJK SC"/>
        <family val="2"/>
      </rPr>
      <t>万</t>
    </r>
    <r>
      <rPr>
        <sz val="10"/>
        <rFont val="游ゴシック"/>
        <family val="3"/>
        <charset val="128"/>
      </rPr>
      <t>2/3</t>
    </r>
    <r>
      <rPr>
        <sz val="10"/>
        <rFont val="Noto Sans CJK SC"/>
        <family val="2"/>
      </rPr>
      <t>／ハード</t>
    </r>
    <r>
      <rPr>
        <sz val="10"/>
        <rFont val="游ゴシック"/>
        <family val="3"/>
        <charset val="128"/>
      </rPr>
      <t>1/2</t>
    </r>
  </si>
  <si>
    <t>年複数回締切（予算消化型）</t>
  </si>
  <si>
    <t>インボイス対応の会計・受発注・決済ソフト＋PC等ハード。ハードも対象になる唯一の枠。IT導入支援事業者と連携申請</t>
  </si>
  <si>
    <t>電子インボイス対応、請求書発行ソフト、PC更新</t>
  </si>
  <si>
    <t>デジタル化・AI導入補助金2026（インボイス電子取引類型）</t>
  </si>
  <si>
    <t>受発注を行う中小企業</t>
  </si>
  <si>
    <t>発注：50万円、受注：350万円</t>
  </si>
  <si>
    <t>中小2/3、小規模4/5</t>
  </si>
  <si>
    <t>発注者がインボイス対応受発注ソフトを導入し受注側中小企業にアカウント供与。商流単位で支援</t>
  </si>
  <si>
    <r>
      <rPr>
        <sz val="10"/>
        <rFont val="游ゴシック"/>
        <family val="3"/>
        <charset val="128"/>
      </rPr>
      <t>BtoB</t>
    </r>
    <r>
      <rPr>
        <sz val="10"/>
        <rFont val="Noto Sans CJK SC"/>
        <family val="2"/>
      </rPr>
      <t>の電子受発注プラットフォーム導入</t>
    </r>
  </si>
  <si>
    <t>デジタル化・AI導入補助金2026（セキュリティ対策推進枠）</t>
  </si>
  <si>
    <t>中小企業（SECURITY ACTION★★）</t>
  </si>
  <si>
    <r>
      <rPr>
        <sz val="10"/>
        <rFont val="游ゴシック"/>
        <family val="3"/>
        <charset val="128"/>
      </rPr>
      <t>100</t>
    </r>
    <r>
      <rPr>
        <sz val="10"/>
        <rFont val="Noto Sans CJK SC"/>
        <family val="2"/>
      </rPr>
      <t>万円</t>
    </r>
  </si>
  <si>
    <t>1/2</t>
  </si>
  <si>
    <t>IPA『サイバーセキュリティお助け隊サービス』導入。中小のセキュリティ対策推進</t>
  </si>
  <si>
    <t>顧客個人情報保護の社内セキュリティ強化</t>
  </si>
  <si>
    <t>デジタル化・AI導入補助金2026（複数社連携IT導入枠）</t>
  </si>
  <si>
    <r>
      <rPr>
        <sz val="10"/>
        <rFont val="游ゴシック"/>
        <family val="3"/>
        <charset val="128"/>
      </rPr>
      <t>10</t>
    </r>
    <r>
      <rPr>
        <sz val="10"/>
        <rFont val="Noto Sans CJK SC"/>
        <family val="2"/>
      </rPr>
      <t>社以上のグループ</t>
    </r>
  </si>
  <si>
    <t>総額3,000万円</t>
  </si>
  <si>
    <t>2/3-4/5</t>
  </si>
  <si>
    <t>第2次締切分まで公表（予算消化型）</t>
  </si>
  <si>
    <t>複数の中小・小規模事業者が連携し地域DXを推進。通常枠より補助率引上げ。コーディネート費・外部専門家謝金も対象</t>
  </si>
  <si>
    <r>
      <rPr>
        <sz val="10"/>
        <rFont val="游ゴシック"/>
        <family val="3"/>
        <charset val="128"/>
      </rPr>
      <t>JHCA</t>
    </r>
    <r>
      <rPr>
        <sz val="10"/>
        <rFont val="Noto Sans CJK SC"/>
        <family val="2"/>
      </rPr>
      <t>加盟店共同の</t>
    </r>
    <r>
      <rPr>
        <sz val="10"/>
        <rFont val="游ゴシック"/>
        <family val="3"/>
        <charset val="128"/>
      </rPr>
      <t>CRM</t>
    </r>
    <r>
      <rPr>
        <sz val="10"/>
        <rFont val="Noto Sans CJK SC"/>
        <family val="2"/>
      </rPr>
      <t>システム導入</t>
    </r>
  </si>
  <si>
    <t>受付中（2026/3/30開始）</t>
  </si>
  <si>
    <t>税制優遇・金融支援</t>
  </si>
  <si>
    <t>中小企業経営強化税制</t>
  </si>
  <si>
    <t>https://www.chusho.meti.go.jp/keiei/kyoka/kyoka_zeisei.html</t>
  </si>
  <si>
    <t>中小企業庁</t>
  </si>
  <si>
    <t>中小企業者等（資本金1億円以下等）</t>
  </si>
  <si>
    <t>即時償却 または 取得価額10%税額控除（資本金3,000万円超1億円以下は7%）</t>
  </si>
  <si>
    <t>即時償却／税額控除10%(7%)。投資促進税制と合算で法人税額の20%上限</t>
  </si>
  <si>
    <t>指定期間 平成29/4/1～</t>
  </si>
  <si>
    <t>令和9年3月31日まで（令和8年度改正で延長見込み・要公式確認）</t>
  </si>
  <si>
    <t>経営力向上計画の認定が必須。A生産性向上/B収益力強化/D経営資源集約化/E経営規模拡大の各類型。証明書・確認書は設備取得前に申請</t>
  </si>
  <si>
    <r>
      <rPr>
        <sz val="10"/>
        <rFont val="游ゴシック"/>
        <family val="3"/>
        <charset val="128"/>
      </rPr>
      <t>UV</t>
    </r>
    <r>
      <rPr>
        <sz val="10"/>
        <rFont val="Noto Sans CJK SC"/>
        <family val="2"/>
      </rPr>
      <t>硬化型コーティング機械、施工管理システム、大型乾燥機</t>
    </r>
  </si>
  <si>
    <t>適用中（令和9/3/31まで）</t>
  </si>
  <si>
    <t>通年（計画認定要）</t>
  </si>
  <si>
    <t>中小企業投資促進税制</t>
  </si>
  <si>
    <t>https://www.chusho.meti.go.jp/keiei/zeisei/syotyutoushi.html</t>
  </si>
  <si>
    <r>
      <rPr>
        <sz val="10"/>
        <rFont val="游ゴシック"/>
        <family val="3"/>
        <charset val="128"/>
      </rPr>
      <t>30%</t>
    </r>
    <r>
      <rPr>
        <sz val="10"/>
        <rFont val="Noto Sans CJK SC"/>
        <family val="2"/>
      </rPr>
      <t xml:space="preserve">特別償却 または </t>
    </r>
    <r>
      <rPr>
        <sz val="10"/>
        <rFont val="游ゴシック"/>
        <family val="3"/>
        <charset val="128"/>
      </rPr>
      <t>7%</t>
    </r>
    <r>
      <rPr>
        <sz val="10"/>
        <rFont val="Noto Sans CJK SC"/>
        <family val="2"/>
      </rPr>
      <t>税額控除（税額控除は資本金</t>
    </r>
    <r>
      <rPr>
        <sz val="10"/>
        <rFont val="游ゴシック"/>
        <family val="3"/>
        <charset val="128"/>
      </rPr>
      <t>3,000</t>
    </r>
    <r>
      <rPr>
        <sz val="10"/>
        <rFont val="Noto Sans CJK SC"/>
        <family val="2"/>
      </rPr>
      <t>万円以下法人・個人）</t>
    </r>
  </si>
  <si>
    <t>特別償却30%／税額控除7%。経営強化税制と合算で法人税額20%上限</t>
  </si>
  <si>
    <t>指定期間 平成10/6/1～</t>
  </si>
  <si>
    <t>機械装置160万円以上等の対象設備を取得し指定事業に供用。計画認定不要。中古・貸付用は対象外。器具備品は対象外（経営強化税制を検討）</t>
  </si>
  <si>
    <t>コーティング設備の取得時の償却促進</t>
  </si>
  <si>
    <t>中小企業防災・減災投資促進税制</t>
  </si>
  <si>
    <t>https://www.chusho.meti.go.jp/keiei/antei/bousai/index.html</t>
  </si>
  <si>
    <t>事業継続力強化計画認定企業</t>
  </si>
  <si>
    <t>特別償却16%（令和7年4月以降取得分。建物附属設備等の防災減災設備）</t>
  </si>
  <si>
    <t>特別償却16%（税額控除なし）</t>
  </si>
  <si>
    <t>事業継続力強化計画の認定が必要。認定計画に記載の防災・減災設備（機械装置・器具備品・建物附属設備）が対象。確定申告に明細書添付</t>
  </si>
  <si>
    <t>倉庫の耐震・水害対策、非常用電源</t>
  </si>
  <si>
    <t>適用中（計画認定要）</t>
  </si>
  <si>
    <t>少額減価償却資産の取得価額の損金算入特例</t>
  </si>
  <si>
    <t>https://www.nta.go.jp/taxes/shiraberu/taxanswer/hojin/5408.htm</t>
  </si>
  <si>
    <t>国税庁</t>
  </si>
  <si>
    <t>中小企業者等（従業員400人以下）</t>
  </si>
  <si>
    <r>
      <rPr>
        <sz val="10"/>
        <rFont val="游ゴシック"/>
        <family val="3"/>
        <charset val="128"/>
      </rPr>
      <t>1</t>
    </r>
    <r>
      <rPr>
        <sz val="10"/>
        <rFont val="Noto Sans CJK SC"/>
        <family val="2"/>
      </rPr>
      <t>個</t>
    </r>
    <r>
      <rPr>
        <sz val="10"/>
        <rFont val="游ゴシック"/>
        <family val="3"/>
        <charset val="128"/>
      </rPr>
      <t>40</t>
    </r>
    <r>
      <rPr>
        <sz val="10"/>
        <rFont val="Noto Sans CJK SC"/>
        <family val="2"/>
      </rPr>
      <t>万円未満（</t>
    </r>
    <r>
      <rPr>
        <sz val="10"/>
        <rFont val="游ゴシック"/>
        <family val="3"/>
        <charset val="128"/>
      </rPr>
      <t>2026/4/1</t>
    </r>
    <r>
      <rPr>
        <sz val="10"/>
        <rFont val="Noto Sans CJK SC"/>
        <family val="2"/>
      </rPr>
      <t>以降取得分。それ以前は</t>
    </r>
    <r>
      <rPr>
        <sz val="10"/>
        <rFont val="游ゴシック"/>
        <family val="3"/>
        <charset val="128"/>
      </rPr>
      <t>30</t>
    </r>
    <r>
      <rPr>
        <sz val="10"/>
        <rFont val="Noto Sans CJK SC"/>
        <family val="2"/>
      </rPr>
      <t>万円未満）／年間合計</t>
    </r>
    <r>
      <rPr>
        <sz val="10"/>
        <rFont val="游ゴシック"/>
        <family val="3"/>
        <charset val="128"/>
      </rPr>
      <t>300</t>
    </r>
    <r>
      <rPr>
        <sz val="10"/>
        <rFont val="Noto Sans CJK SC"/>
        <family val="2"/>
      </rPr>
      <t>万円限度</t>
    </r>
  </si>
  <si>
    <t>全額損金算入</t>
  </si>
  <si>
    <t>通年（事業供用時）</t>
  </si>
  <si>
    <t>令和10年度末＝2029/3/31まで（令和8年度税制改正で3年延長）</t>
  </si>
  <si>
    <t>青色申告の中小企業者等。令和8年度改正で取得価額30万→40万円未満に拡大、適用期限を令和11/3/31まで延長、対象法人を従業員500人以下→（厳格化・常時使用従業員300人以下等）。適用除外事業者は対象外</t>
  </si>
  <si>
    <t>施工用ハンドツール、PC、デスク等の即時償却</t>
  </si>
  <si>
    <t>適用中（令和10年度末まで）</t>
  </si>
  <si>
    <t>日本政策金融公庫 一般貸付</t>
  </si>
  <si>
    <t>https://www.jfc.go.jp/n/finance/search/03_ippanbusiness_m.html</t>
  </si>
  <si>
    <t>日本政策金融公庫</t>
  </si>
  <si>
    <t>中小企業・個人事業主</t>
  </si>
  <si>
    <t>国民生活事業 4,800万円（特定設備資金は7,200万円）／中小企業事業は別枠</t>
  </si>
  <si>
    <t>所定の利率（基準利率等）</t>
  </si>
  <si>
    <t>ほぼ全業種が利用可能な一般的な事業資金。日本公庫の窓口・オンラインで随時相談</t>
  </si>
  <si>
    <t>店舗・倉庫拡張、設備更新等の長期低利融資</t>
  </si>
  <si>
    <t>通年受付（随時相談）</t>
  </si>
  <si>
    <t>日本政策金融公庫 新規開業・スタートアップ支援資金</t>
  </si>
  <si>
    <t>https://www.jfc.go.jp/n/finance/search/30_t.html</t>
  </si>
  <si>
    <t>創業7年以内</t>
  </si>
  <si>
    <t>7,200万円（うち運転資金4,800万円）。設備20年/運転10年（据置最大5年）</t>
  </si>
  <si>
    <t>基準利率（中小会計適用等で特別利率A等の優遇）</t>
  </si>
  <si>
    <t>新たに事業を始める方・事業開始後おおむね7年以内。旧『新規開業資金』を2025/3に名称変更し限度額を3,000万→7,200万円に拡充。旧新創業融資制度は廃止統合</t>
  </si>
  <si>
    <t>新規開業時の運転・設備資金</t>
  </si>
  <si>
    <t>日本政策金融公庫 セーフティネット貸付</t>
  </si>
  <si>
    <t>https://www.jfc.go.jp/n/finance/search/syaspc/syaspc_m.html</t>
  </si>
  <si>
    <t>業況悪化等の中小企業</t>
  </si>
  <si>
    <t>国民生活事業 7,200万円／中小企業事業 直接貸付7億2千万円</t>
  </si>
  <si>
    <t>基準利率（中東情勢等で売上5%減なら-0.4%）。設備20年・運転10年（据置3年）</t>
  </si>
  <si>
    <t>【注】本制度はNo168（融資・資金繰り安全網カテゴリ）と同一制度。財務系・融資系の両カテゴリから探せるよう意図的に2箇所掲載。No178と同一制度（DX財務系シート内の重複掲載）。社会的経済的環境変化で売上減等。最寄り公庫支店へ相談</t>
  </si>
  <si>
    <t>売上減少時の運転資金確保</t>
  </si>
  <si>
    <t>日本政策金融公庫 経営力強化資金</t>
  </si>
  <si>
    <t>https://www.jfc.go.jp/n/finance/search/14_keieiryokukyouka_m.html</t>
  </si>
  <si>
    <t>認定支援機関の指導を受ける中小企業</t>
  </si>
  <si>
    <t>国民生活7,200万円／中小企業7億2千万円（うち運転は別枠上限）</t>
  </si>
  <si>
    <t>特別利率（中小会計適用・経営革新等支援機関の指導等で優遇）</t>
  </si>
  <si>
    <t>自ら事業計画を策定し認定経営革新等支援機関の指導助言を受ける方の設備・運転資金。中小会計適用が要件</t>
  </si>
  <si>
    <t>経営革新計画策定と連動した資金調達</t>
  </si>
  <si>
    <t>信用保証協会 各種保証制度（創業関連保証等）</t>
  </si>
  <si>
    <t>https://www.jfg.zenshinhoren.or.jp/yushi.html</t>
  </si>
  <si>
    <t>全国信用保証協会連合会</t>
  </si>
  <si>
    <t>普通保証2億円・無担保8,000万円等（保証種類別）。創業関連保証は別枠</t>
  </si>
  <si>
    <t>保証料率は信用保証協会の区分による</t>
  </si>
  <si>
    <t>金融機関融資に信用保証協会の保証を付す制度。創業関連保証・特定創業支援等。各都道府県信用保証協会が窓口</t>
  </si>
  <si>
    <t>金融機関融資の信用補完</t>
  </si>
  <si>
    <t>通年受付（金融機関経由）</t>
  </si>
  <si>
    <t>環境・業界特化系</t>
  </si>
  <si>
    <t>省エネ・脱炭素・環境</t>
  </si>
  <si>
    <t>省エネ・非化石転換補助金（工場・事業場型）</t>
  </si>
  <si>
    <t>https://syouenehojyokin.sii.or.jp/</t>
  </si>
  <si>
    <r>
      <rPr>
        <sz val="10"/>
        <rFont val="游ゴシック"/>
        <family val="3"/>
        <charset val="128"/>
      </rPr>
      <t>SII</t>
    </r>
    <r>
      <rPr>
        <sz val="10"/>
        <rFont val="Noto Sans CJK SC"/>
        <family val="2"/>
      </rPr>
      <t>（環境共創イニシアチブ）</t>
    </r>
  </si>
  <si>
    <t>中小企業等</t>
  </si>
  <si>
    <t>工場・事業場型は数億円規模（先進設備・オーダーメイド型等）</t>
  </si>
  <si>
    <r>
      <rPr>
        <sz val="10"/>
        <rFont val="游ゴシック"/>
        <family val="3"/>
        <charset val="128"/>
      </rPr>
      <t>1/2</t>
    </r>
    <r>
      <rPr>
        <sz val="10"/>
        <rFont val="Noto Sans CJK SC"/>
        <family val="2"/>
      </rPr>
      <t>～</t>
    </r>
    <r>
      <rPr>
        <sz val="10"/>
        <rFont val="游ゴシック"/>
        <family val="3"/>
        <charset val="128"/>
      </rPr>
      <t>1/3</t>
    </r>
    <r>
      <rPr>
        <sz val="10"/>
        <rFont val="Noto Sans CJK SC"/>
        <family val="2"/>
      </rPr>
      <t>等（事業区分による）</t>
    </r>
  </si>
  <si>
    <r>
      <rPr>
        <sz val="10"/>
        <rFont val="游ゴシック"/>
        <family val="3"/>
        <charset val="128"/>
      </rPr>
      <t>SII</t>
    </r>
    <r>
      <rPr>
        <sz val="10"/>
        <rFont val="Noto Sans CJK SC"/>
        <family val="2"/>
      </rPr>
      <t>公募（例年春～初夏）</t>
    </r>
  </si>
  <si>
    <t>年度ごとに公募回設定（予算上限あり）</t>
  </si>
  <si>
    <t>経産省・SII（環境共創イニシアチブ）の省エネ・非化石転換補助金。工場全体の省エネ計画。フロアコート単体ではなく自社施設の省エネ設備更新で活用可。最新の公募回・要件はSII公式で要確認</t>
  </si>
  <si>
    <t>倉庫・本社の高効率空調・LED・変圧器更新</t>
  </si>
  <si>
    <t>SII年度公募（要公式確認）</t>
  </si>
  <si>
    <t>省エネ・非化石転換補助金（電化・脱炭素燃転型）</t>
  </si>
  <si>
    <t>2026/03/30</t>
  </si>
  <si>
    <t>電化・脱炭素燃転型。ボイラー等の電化・燃料転換。SII公募。最新要件はSII公式で要確認</t>
  </si>
  <si>
    <t>ガスボイラーから電気ヒートポンプへの転換</t>
  </si>
  <si>
    <t>省エネ・非化石転換補助金（設備単位型）</t>
  </si>
  <si>
    <t>設備単位型。指定の高効率設備（空調・照明等）への更新を簡易申請で支援。SII公募。最新の対象設備・公募回はSII公式で要確認</t>
  </si>
  <si>
    <t>高効率コンプレッサー、業務用エアコン</t>
  </si>
  <si>
    <r>
      <rPr>
        <sz val="10"/>
        <rFont val="游ゴシック"/>
        <family val="3"/>
        <charset val="128"/>
      </rPr>
      <t>ZEB</t>
    </r>
    <r>
      <rPr>
        <sz val="10"/>
        <rFont val="Noto Sans CJK SC"/>
        <family val="2"/>
      </rPr>
      <t>実証事業／業務用建築物の脱炭素改修加速化事業</t>
    </r>
  </si>
  <si>
    <t>https://sii.or.jp/zeb_leading/</t>
  </si>
  <si>
    <r>
      <rPr>
        <sz val="10"/>
        <rFont val="游ゴシック"/>
        <family val="3"/>
        <charset val="128"/>
      </rPr>
      <t>ZEB</t>
    </r>
    <r>
      <rPr>
        <sz val="10"/>
        <rFont val="Noto Sans CJK SC"/>
        <family val="2"/>
      </rPr>
      <t>（ネット・ゼロ・エネルギー・ビル）化・業務用建築物の脱炭素改修。環境省</t>
    </r>
    <r>
      <rPr>
        <sz val="10"/>
        <rFont val="游ゴシック"/>
        <family val="3"/>
        <charset val="128"/>
      </rPr>
      <t>/SII</t>
    </r>
    <r>
      <rPr>
        <sz val="10"/>
        <rFont val="Noto Sans CJK SC"/>
        <family val="2"/>
      </rPr>
      <t>。最新要件は公式で要確認</t>
    </r>
  </si>
  <si>
    <t>事業所建物のZEB化</t>
  </si>
  <si>
    <t>年度公募（要公式確認）</t>
  </si>
  <si>
    <t>建設・リフォーム・住宅特化</t>
  </si>
  <si>
    <t>住宅省エネ2026キャンペーン（4事業ワンストップ）</t>
  </si>
  <si>
    <t>https://jutaku-shoene2026.mlit.go.jp/</t>
  </si>
  <si>
    <t>国交省・経産省・環境省</t>
  </si>
  <si>
    <t>住宅省エネ支援事業者登録</t>
  </si>
  <si>
    <t>登録事業者</t>
  </si>
  <si>
    <t>事業別</t>
  </si>
  <si>
    <t>2026/3/31～（給湯・賃貸集合給湯）／窓リノベ・みらいエコ住宅は順次</t>
  </si>
  <si>
    <t>予算上限到達時終了（交付申請期限 給湯系は2026/12/31）</t>
  </si>
  <si>
    <r>
      <rPr>
        <sz val="10"/>
        <rFont val="游ゴシック"/>
        <family val="3"/>
        <charset val="128"/>
      </rPr>
      <t>4</t>
    </r>
    <r>
      <rPr>
        <sz val="10"/>
        <rFont val="Noto Sans CJK SC"/>
        <family val="2"/>
      </rPr>
      <t>事業ワンストップ。住宅省エネ支援事業者の登録必須。消費者は直接申請不可（事業者が代理申請）。フロアコート単体は対象外、断熱・窓・給湯等とのセット提案向け</t>
    </r>
  </si>
  <si>
    <t>施主への提案・申請代行（フロアコート工事と同時提案）</t>
  </si>
  <si>
    <t>一部受付中（2026/5/17時点／給湯14%・窓3%消化）</t>
  </si>
  <si>
    <t>受付中（事業者申請）</t>
  </si>
  <si>
    <t>みらいエコ住宅2026事業（Me住宅2026）</t>
  </si>
  <si>
    <t>https://www.mlit.go.jp/jutakukentiku/house/jutakukentiku_house_tk4_000310.html</t>
  </si>
  <si>
    <t>国土交通省</t>
  </si>
  <si>
    <t>住宅省エネ支援事業者</t>
  </si>
  <si>
    <t>リフォーム上限40-100万円</t>
  </si>
  <si>
    <t>新築（ZEH水準）第2期2026/5/13～。リフォームは受付開始前（2026/5/17時点）</t>
  </si>
  <si>
    <t>予算上限到達時終了（全体予算750億・新築第2期は9/30まで等）</t>
  </si>
  <si>
    <t>旧子育てグリーン住宅支援事業の後継。新築（GX志向型は全世帯、長期優良・ZEH水準は子育て/若者夫婦世帯）／リフォームは全世帯。事業者が代理申請</t>
  </si>
  <si>
    <t>新築マンションのフロアコート同時申請</t>
  </si>
  <si>
    <t>新築第2期受付中／リフォームは受付開始前</t>
  </si>
  <si>
    <t>一部受付中</t>
  </si>
  <si>
    <t>先進的窓リノベ2026事業</t>
  </si>
  <si>
    <t>https://window-renovation.env.go.jp/</t>
  </si>
  <si>
    <t>環境省</t>
  </si>
  <si>
    <r>
      <rPr>
        <sz val="10"/>
        <rFont val="游ゴシック"/>
        <family val="3"/>
        <charset val="128"/>
      </rPr>
      <t>1</t>
    </r>
    <r>
      <rPr>
        <sz val="10"/>
        <rFont val="Noto Sans CJK SC"/>
        <family val="2"/>
      </rPr>
      <t>戸最大</t>
    </r>
    <r>
      <rPr>
        <sz val="10"/>
        <rFont val="游ゴシック"/>
        <family val="3"/>
        <charset val="128"/>
      </rPr>
      <t>100</t>
    </r>
    <r>
      <rPr>
        <sz val="10"/>
        <rFont val="Noto Sans CJK SC"/>
        <family val="2"/>
      </rPr>
      <t>万円</t>
    </r>
  </si>
  <si>
    <t>2026/3/30～（交付申請・予約受付開始）</t>
  </si>
  <si>
    <t>予算上限到達時終了（予算1,125億円規模）</t>
  </si>
  <si>
    <t>高断熱の内窓・外窓・ガラス交換。2025/11/28以降着手工事が対象。事業者が代理申請</t>
  </si>
  <si>
    <t>リフォーム時の窓断熱とフロアコートのセット提案</t>
  </si>
  <si>
    <t>受付中（2026/5/17時点 予算消化約3%）</t>
  </si>
  <si>
    <t>給湯省エネ2026事業</t>
  </si>
  <si>
    <t>https://kyutou-shoene2026.meti.go.jp/</t>
  </si>
  <si>
    <t>最大17万円/台</t>
  </si>
  <si>
    <t>2026/3/31～（交付申請・予約受付開始）</t>
  </si>
  <si>
    <t>交付申請期限2026/12/31（予算上限で早期終了。予約期限2026/11/16）</t>
  </si>
  <si>
    <t>エコキュート・ハイブリッド・エネファーム等の高効率給湯器。電気蓄熱暖房機・電気温水器撤去で加算。新築含む。事業者が代理申請</t>
  </si>
  <si>
    <t>リフォーム時の給湯設備更新提案</t>
  </si>
  <si>
    <t>受付中（2026/5/17時点 予算消化約14%）</t>
  </si>
  <si>
    <t>賃貸集合給湯省エネ2026事業</t>
  </si>
  <si>
    <t>https://chintaikyutou-shoene2026.meti.go.jp/</t>
  </si>
  <si>
    <t>1台あたり定額（小型省エネ型給湯器）</t>
  </si>
  <si>
    <t>交付申請期限2026/12/31（予算上限で早期終了。予算35億円規模）</t>
  </si>
  <si>
    <t>賃貸集合住宅の小型省エネ型給湯器交換。事業者が代理申請</t>
  </si>
  <si>
    <t>賃貸オーナーへの提案</t>
  </si>
  <si>
    <t>受付中（2026/5/17時点 予算消化約5%）</t>
  </si>
  <si>
    <t>既存住宅における断熱リフォーム支援事業</t>
  </si>
  <si>
    <t>https://danrich.tokuteihijunho.jp/</t>
  </si>
  <si>
    <t>環境省（公益財団法人北海道環境財団執行）</t>
  </si>
  <si>
    <t>戸建・集合住宅</t>
  </si>
  <si>
    <t>既存住宅の断熱リフォーム（高性能建材）。環境省。住宅省エネ2026とは別事業の場合あり。最新の公募状況は環境省/SII公式で要確認</t>
  </si>
  <si>
    <t>断熱改修と床コーティングの同時施工</t>
  </si>
  <si>
    <t>既築住宅のZEH改修実証支援事業</t>
  </si>
  <si>
    <t>https://sii.or.jp/zeh_kenchiku/</t>
  </si>
  <si>
    <t>経済産業省・SII</t>
  </si>
  <si>
    <t>既築住宅のZEH改修実証。環境省の実証事業。公募時期・要件は年度で変動、公式で要確認</t>
  </si>
  <si>
    <r>
      <rPr>
        <sz val="10"/>
        <rFont val="游ゴシック"/>
        <family val="3"/>
        <charset val="128"/>
      </rPr>
      <t>ZEH</t>
    </r>
    <r>
      <rPr>
        <sz val="10"/>
        <rFont val="Noto Sans CJK SC"/>
        <family val="2"/>
      </rPr>
      <t>改修案件への参画</t>
    </r>
  </si>
  <si>
    <t>建設キャリアアップシステム（CCUS）</t>
  </si>
  <si>
    <t>https://www.ccus.jp/</t>
  </si>
  <si>
    <t>（一財）建設業振興基金</t>
  </si>
  <si>
    <t>建設事業者・技能者</t>
  </si>
  <si>
    <t>事業者登録料（資本金別）／技能者登録料／管理者ID利用料／現場利用料</t>
  </si>
  <si>
    <t>登録料（補助金ではなく制度基盤）</t>
  </si>
  <si>
    <t>建設技能者の資格・就業履歴を登録するシステム（建設業振興基金運営）。フロアサンディング等の建設業許可業種で活用。インターネット申請可。補助金ではないが各種助成金・公共工事加点の前提</t>
  </si>
  <si>
    <t>建設業許可保有加盟店の事業者登録</t>
  </si>
  <si>
    <t>通年登録受付</t>
  </si>
  <si>
    <t>人材確保等支援助成金（CCUS等活用促進コース）</t>
  </si>
  <si>
    <t>団体向け（中小建設事業主団体に支給対象費用の2/3、それ以外1/2）</t>
  </si>
  <si>
    <t>人材確保等支援助成金CCUS等活用促進コース。建設事業主『団体』が対象（個社の加盟店は直接対象外）。技能者登録料等の手数料補助は令和7年度限りで終了、令和8年度はCCUS活用の雇用管理改善取組支援に移行</t>
  </si>
  <si>
    <t>技能者の評価制度連動賃上げ</t>
  </si>
  <si>
    <t>団体向け（令和8年度は内容移行）</t>
  </si>
  <si>
    <t>団体対象・要確認</t>
  </si>
  <si>
    <t>建設事業主等に対する助成金（若年・女性に魅力ある職場づくり）</t>
  </si>
  <si>
    <t>若年・女性の入職定着の経費助成・賃金向上助成等（団体経費助成は400万円/地域団体200万円等）</t>
  </si>
  <si>
    <t>建設事業主等に対する助成金。事業主団体経費助成と個別事業主向け（雇用管理研修等）。建設業の若年・女性活躍。対象・支給額は令和8年度の建設事業主等助成金一覧で要確認</t>
  </si>
  <si>
    <t>若手・女性職人の入職支援</t>
  </si>
  <si>
    <t>通年（団体・個社別。要確認）</t>
  </si>
  <si>
    <t>建設事業主等に対する助成金（作業員宿舎等設置助成）</t>
  </si>
  <si>
    <t>建設業（女性建設労働者対象）</t>
  </si>
  <si>
    <t>経費の3/5（被災地等の作業員宿舎・施設等の賃借）</t>
  </si>
  <si>
    <t>3/5</t>
  </si>
  <si>
    <t>建設事業主等に対する助成金（作業員宿舎等設置助成コース）。被災地等での宿舎・賃貸住宅・施設の賃借費用。対象地域・要件は厚労省公式で要確認</t>
  </si>
  <si>
    <t>女性施工スタッフ用更衣室・休憩室整備</t>
  </si>
  <si>
    <t>通年（対象地域限定・要確認）</t>
  </si>
  <si>
    <t>住宅瑕疵担保責任保険（住宅瑕疵担保履行法）</t>
  </si>
  <si>
    <t>https://www.kashihoken.or.jp/</t>
  </si>
  <si>
    <t>国交省・指定住宅瑕疵担保責任保険法人</t>
  </si>
  <si>
    <t>新築住宅供給事業者</t>
  </si>
  <si>
    <t>保険料（住宅事業者が負担。新築住宅の構造耐力・雨水侵入の10年保証）</t>
  </si>
  <si>
    <t>住宅瑕疵担保履行法に基づく義務的制度。新築住宅の供給事業者は保険加入または供託が必須。フロアコート等の改修専業では直接の付保義務は限定的だが、新築関連受注時に関係</t>
  </si>
  <si>
    <t>新築マンション施工時の瑕疵担保</t>
  </si>
  <si>
    <t>新築供給事業者は義務</t>
  </si>
  <si>
    <t>制度（義務）</t>
  </si>
  <si>
    <t>地域雇用開発助成金（地域雇用開発コース）</t>
  </si>
  <si>
    <t>https://www.mhlw.go.jp/content/11600000/001685176.pdf</t>
  </si>
  <si>
    <t>雇用情勢が厳しい指定地域</t>
  </si>
  <si>
    <t>対象地域に事業所設置・整備を行う事業主</t>
  </si>
  <si>
    <t>同意雇用開発促進地域等での施設整備＋雇入れ。最大800万円/回（区分別）</t>
  </si>
  <si>
    <t>雇用機会が不足する地域での事業所設置整備＋地域求職者雇入れ。対象地域は厚労省指定。最新の指定地域を要確認</t>
  </si>
  <si>
    <t>地方拠点・FC支店開設時の設備投資・採用コストの圧縮</t>
  </si>
  <si>
    <t>C,D,E</t>
  </si>
  <si>
    <t>通年受付（対象地域限定）</t>
  </si>
  <si>
    <t>通年（地域限定）</t>
  </si>
  <si>
    <t>地域雇用開発助成金（沖縄若年者雇用促進コース）</t>
  </si>
  <si>
    <t>https://www.mhlw.go.jp/stf/seisakunitsuite/bunya/koyou_roudou/koyou/kyufukin/page04_00007.html</t>
  </si>
  <si>
    <t>沖縄県</t>
  </si>
  <si>
    <t>沖縄県内で35歳未満の若年者を雇い入れる事業主</t>
  </si>
  <si>
    <r>
      <rPr>
        <sz val="10"/>
        <rFont val="游ゴシック"/>
        <family val="3"/>
        <charset val="128"/>
      </rPr>
      <t>1</t>
    </r>
    <r>
      <rPr>
        <sz val="10"/>
        <rFont val="Noto Sans CJK SC"/>
        <family val="2"/>
      </rPr>
      <t>人最大</t>
    </r>
    <r>
      <rPr>
        <sz val="10"/>
        <rFont val="游ゴシック"/>
        <family val="3"/>
        <charset val="128"/>
      </rPr>
      <t>90</t>
    </r>
    <r>
      <rPr>
        <sz val="10"/>
        <rFont val="Noto Sans CJK SC"/>
        <family val="2"/>
      </rPr>
      <t>万円</t>
    </r>
  </si>
  <si>
    <t>沖縄県内の35歳未満の若年者を雇用。沖縄労働局管轄。最新の対象・支給額を要確認</t>
  </si>
  <si>
    <t>沖縄加盟店（美ら海ハウジング・ひなた）の若手職人採用</t>
  </si>
  <si>
    <t>通年受付（沖縄県限定）</t>
  </si>
  <si>
    <t>通年（沖縄限定）</t>
  </si>
  <si>
    <r>
      <rPr>
        <sz val="10"/>
        <rFont val="游ゴシック"/>
        <family val="3"/>
        <charset val="128"/>
      </rPr>
      <t>65</t>
    </r>
    <r>
      <rPr>
        <sz val="10"/>
        <rFont val="Noto Sans CJK SC"/>
        <family val="2"/>
      </rPr>
      <t>歳超雇用推進助成金（</t>
    </r>
    <r>
      <rPr>
        <sz val="10"/>
        <rFont val="游ゴシック"/>
        <family val="3"/>
        <charset val="128"/>
      </rPr>
      <t>65</t>
    </r>
    <r>
      <rPr>
        <sz val="10"/>
        <rFont val="Noto Sans CJK SC"/>
        <family val="2"/>
      </rPr>
      <t>歳超継続雇用促進コース）</t>
    </r>
  </si>
  <si>
    <t>受給額15～240万円（対象被保険者数・引上げ年齢・措置内容で決定）</t>
  </si>
  <si>
    <t>定額（令和8年4月8日改正）</t>
  </si>
  <si>
    <r>
      <rPr>
        <sz val="10"/>
        <rFont val="游ゴシック"/>
        <family val="3"/>
        <charset val="128"/>
      </rPr>
      <t>65</t>
    </r>
    <r>
      <rPr>
        <sz val="10"/>
        <rFont val="Noto Sans CJK SC"/>
        <family val="2"/>
      </rPr>
      <t>歳以上への定年引上げ・定年廃止・継続雇用制度導入・他社による継続雇用制度導入。</t>
    </r>
    <r>
      <rPr>
        <sz val="10"/>
        <rFont val="游ゴシック"/>
        <family val="3"/>
        <charset val="128"/>
      </rPr>
      <t>R8.4.8</t>
    </r>
    <r>
      <rPr>
        <sz val="10"/>
        <rFont val="Noto Sans CJK SC"/>
        <family val="2"/>
      </rPr>
      <t>改正で受給額</t>
    </r>
    <r>
      <rPr>
        <sz val="10"/>
        <rFont val="游ゴシック"/>
        <family val="3"/>
        <charset val="128"/>
      </rPr>
      <t>15</t>
    </r>
    <r>
      <rPr>
        <sz val="10"/>
        <rFont val="Noto Sans CJK SC"/>
        <family val="2"/>
      </rPr>
      <t>～</t>
    </r>
    <r>
      <rPr>
        <sz val="10"/>
        <rFont val="游ゴシック"/>
        <family val="3"/>
        <charset val="128"/>
      </rPr>
      <t>240</t>
    </r>
    <r>
      <rPr>
        <sz val="10"/>
        <rFont val="Noto Sans CJK SC"/>
        <family val="2"/>
      </rPr>
      <t>万円に変更、</t>
    </r>
    <r>
      <rPr>
        <sz val="10"/>
        <rFont val="游ゴシック"/>
        <family val="3"/>
        <charset val="128"/>
      </rPr>
      <t>1</t>
    </r>
    <r>
      <rPr>
        <sz val="10"/>
        <rFont val="Noto Sans CJK SC"/>
        <family val="2"/>
      </rPr>
      <t>事業主</t>
    </r>
    <r>
      <rPr>
        <sz val="10"/>
        <rFont val="游ゴシック"/>
        <family val="3"/>
        <charset val="128"/>
      </rPr>
      <t>1</t>
    </r>
    <r>
      <rPr>
        <sz val="10"/>
        <rFont val="Noto Sans CJK SC"/>
        <family val="2"/>
      </rPr>
      <t>回限りの取扱い廃止、対象者基準該当者対象の制度も追加</t>
    </r>
  </si>
  <si>
    <t>ベテラン職人の継続雇用制度整備、定年引上げ</t>
  </si>
  <si>
    <t>月次・四半期予算枠あり（受付停止の場合あり）</t>
  </si>
  <si>
    <t>通年（予算枠あり）</t>
  </si>
  <si>
    <r>
      <rPr>
        <sz val="10"/>
        <rFont val="游ゴシック"/>
        <family val="3"/>
        <charset val="128"/>
      </rPr>
      <t>65</t>
    </r>
    <r>
      <rPr>
        <sz val="10"/>
        <rFont val="Noto Sans CJK SC"/>
        <family val="2"/>
      </rPr>
      <t>歳超雇用推進助成金（高年齢者評価制度等雇用管理改善コース）</t>
    </r>
  </si>
  <si>
    <t>賃金・人事処遇制度の導入改善60万円(中小以外45万)／それ以外30万(23万)／機器導入は経費×60%上限30万円（令和8年度改定）</t>
  </si>
  <si>
    <t>定額＋経費助成（令和8年度改定）</t>
  </si>
  <si>
    <t>高年齢者の雇用管理制度（賃金・人事処遇・健康管理等）の整備。令和8年度から支給額体系を改定（賃金人事処遇の導入改善で増額）。別助成金へ移行予定の情報あり、要公式確認</t>
  </si>
  <si>
    <t>ベテラン職人の評価制度整備</t>
  </si>
  <si>
    <t>固定資産税の特例（先端設備等導入計画）</t>
  </si>
  <si>
    <t>https://www.chusho.meti.go.jp/zaimu/zeisei/tokurei/kotei_shisan.html</t>
  </si>
  <si>
    <t>中小企業庁／市区町村</t>
  </si>
  <si>
    <t>中小企業者</t>
  </si>
  <si>
    <t>新規取得設備の固定資産税を3年間 課税標準1/2（賃上げ表明で1/3または1/4・最長5年）</t>
  </si>
  <si>
    <t>課税標準の特例（市区町村の条例による）</t>
  </si>
  <si>
    <t>2027/03/31</t>
  </si>
  <si>
    <t>先端設備等導入計画を市区町村が認定。生産性向上設備（年率3%以上向上等）が対象。市区町村ごとに条例化要・要公式確認</t>
  </si>
  <si>
    <t>支店・倉庫・施工拠点の設備投資時に固定資産税圧縮</t>
  </si>
  <si>
    <t>計画認定制（市区町村による）</t>
  </si>
  <si>
    <t>働き方改革推進支援資金（日本政策金融公庫）</t>
  </si>
  <si>
    <t>https://www.jfc.go.jp/n/finance/search/27_w_keieisien_m.html</t>
  </si>
  <si>
    <t>働き方改革取組企業</t>
  </si>
  <si>
    <t>国民生活7,200万円/中小7億2千万円（働き方改革の取組資金）</t>
  </si>
  <si>
    <t>基準利率（要件該当で特別利率）</t>
  </si>
  <si>
    <t>時間外労働の上限規制対応・労働時間短縮・年休取得促進等の働き方改革に取り組む事業者の設備運転資金。日本公庫の融資制度</t>
  </si>
  <si>
    <t>賃上げ・労働環境改善のための設備投資・運転資金</t>
  </si>
  <si>
    <t>経営セーフティ共済（中小企業倒産防止共済）</t>
  </si>
  <si>
    <t>https://www.smrj.go.jp/kyosai/tkyosai/</t>
  </si>
  <si>
    <r>
      <rPr>
        <sz val="10"/>
        <rFont val="游ゴシック"/>
        <family val="3"/>
        <charset val="128"/>
      </rPr>
      <t>1</t>
    </r>
    <r>
      <rPr>
        <sz val="10"/>
        <rFont val="Noto Sans CJK SC"/>
        <family val="2"/>
      </rPr>
      <t>年以上継続事業の中小企業等</t>
    </r>
  </si>
  <si>
    <t>掛金月5千～20万円（総額800万円まで）。借入は掛金総額の10倍・最大8,000万円</t>
  </si>
  <si>
    <t>無担保無保証（借入時は実質金利相当の掛金控除あり）</t>
  </si>
  <si>
    <t>通年加入可</t>
  </si>
  <si>
    <t>通年（加入後6か月以上で貸付対象）</t>
  </si>
  <si>
    <t>取引先の倒産時に無担保無保証で借入可能。掛金は損金算入可。中小機構が運営。40か月以上納付で解約手当金100%。加入後6か月未満は共済金貸付不可</t>
  </si>
  <si>
    <t>元請倒産・入金遅延リスクへの備え。掛金は損金算入で節税効果</t>
  </si>
  <si>
    <t>健康経営優良法人認定制度</t>
  </si>
  <si>
    <t>https://www.meti.go.jp/policy/mono_info_service/healthcare/kenkoukeiei_yuryouhouzin.html</t>
  </si>
  <si>
    <t>金銭給付なし（経産省・日本健康会議の認定）</t>
  </si>
  <si>
    <t>健康経営に取り組む法人を顕彰。中小規模法人部門等。認定で公共調達加点・金融優遇・採用力向上等の間接メリット。申請は毎年度（ACTION!ポータル）</t>
  </si>
  <si>
    <t>採用広報・自治体加点・労務整備の社外PR</t>
  </si>
  <si>
    <t>年度申請（毎年度）</t>
  </si>
  <si>
    <t>年度申請</t>
  </si>
  <si>
    <t>事業再構築・新分野展開</t>
  </si>
  <si>
    <t>事業継続力強化計画認定制度</t>
  </si>
  <si>
    <t>https://www.chusho.meti.go.jp/keiei/antei/bousai/keizokuryoku.html</t>
  </si>
  <si>
    <t>金銭給付なし（経産大臣認定）。認定で低利融資・税制・補助金加点</t>
  </si>
  <si>
    <t>事業継続力強化計画の認定制度。防災減災の事前対策計画を認定。認定でNo52防災減災税制・公庫低利融資・ものづくり補助金等の加点。単独/連携で申請可</t>
  </si>
  <si>
    <t>災害時の工事停止・資材遅延への備え。低利融資・税制優遇の前提資格</t>
  </si>
  <si>
    <t>通年申請（随時認定）</t>
  </si>
  <si>
    <r>
      <rPr>
        <sz val="10"/>
        <rFont val="游ゴシック"/>
        <family val="3"/>
        <charset val="128"/>
      </rPr>
      <t>J-</t>
    </r>
    <r>
      <rPr>
        <sz val="10"/>
        <rFont val="Noto Sans CJK SC"/>
        <family val="2"/>
      </rPr>
      <t>クレジット制度</t>
    </r>
  </si>
  <si>
    <t>https://japancredit.go.jp/</t>
  </si>
  <si>
    <r>
      <rPr>
        <sz val="10"/>
        <rFont val="游ゴシック"/>
        <family val="3"/>
        <charset val="128"/>
      </rPr>
      <t>J-</t>
    </r>
    <r>
      <rPr>
        <sz val="10"/>
        <rFont val="Noto Sans CJK SC"/>
        <family val="2"/>
      </rPr>
      <t>クレジット制度事務局</t>
    </r>
  </si>
  <si>
    <t>法人・個人事業主等</t>
  </si>
  <si>
    <t>金銭給付なし（CO2削減量をクレジット化し売却可能）</t>
  </si>
  <si>
    <t>省エネ・再エネ等によるCO2削減量を国がクレジット認証。売却益が得られる。フロアコート事業の省エネ設備導入等が対象になる場合あり。手続は J-クレジット制度事務局</t>
  </si>
  <si>
    <t>脱炭素提案・法人顧客向け環境PRの補強材料</t>
  </si>
  <si>
    <t>通年（プロジェクト登録制）</t>
  </si>
  <si>
    <t>創業・スタートアップ</t>
  </si>
  <si>
    <t>創業助成事業 第2回（東京都）</t>
  </si>
  <si>
    <t>https://www.tokyo-kosha.or.jp/support/josei/jigyo/sogyo.html</t>
  </si>
  <si>
    <t>（公財）東京都中小企業振興公社</t>
  </si>
  <si>
    <t>東京都</t>
  </si>
  <si>
    <t>創業5年未満</t>
  </si>
  <si>
    <t>上限400万円（下限100万円）</t>
  </si>
  <si>
    <t>助成率2/3以内</t>
  </si>
  <si>
    <t>第2回 2026/9/29 10:00～</t>
  </si>
  <si>
    <t>第2回 2026/10/8 23:59</t>
  </si>
  <si>
    <t>No85と同一制度の第2回公募。内容・要件は第1回と同様。指定創業支援事業の利用必須。jGrants電子申請のみ</t>
  </si>
  <si>
    <t>創業期の人件費・賃借料・広告費・専門家謝金</t>
  </si>
  <si>
    <t>第2回受付2026/9/29～10/8</t>
  </si>
  <si>
    <t>躍進的な事業推進のための設備投資支援事業 第12回（令和8年度第1回）</t>
  </si>
  <si>
    <t>https://www.tokyo-kosha.or.jp/support/josei/setsubijosei/yakushinteki.html</t>
  </si>
  <si>
    <t>上限最大2億円（前回1億円から拡充）。2026年度予算約173億円</t>
  </si>
  <si>
    <t>助成率1/2～4/5以内（自己負担1/5～1/2。賃上げ要件適用で3/4～4/5）</t>
  </si>
  <si>
    <t>第12回（令和8年度第1回）募集決定</t>
  </si>
  <si>
    <t>一次審査5月中旬～6月下旬・助成対象期間例年10/1～（公式で要確認）</t>
  </si>
  <si>
    <t>東京都中小企業振興公社。都内中小企業者の競争力強化・生産性向上のための機械設備等導入。試作開発でなく量産フェーズが対象。5事業区分（競争力強化/DX推進/イノベーション/後継者チャレンジ/アップグレード促進）。賃上げ要件で助成率優遇。採択率25～40%程度</t>
  </si>
  <si>
    <t>大型コーティング設備、施工管理システム、高効率空調</t>
  </si>
  <si>
    <t>新製品・新技術開発助成事業（東京都）</t>
  </si>
  <si>
    <t>https://www.tokyo-kosha.or.jp/support/josei/jigyo/shinseihinShingijutsu.html</t>
  </si>
  <si>
    <t>上限1,500万円</t>
  </si>
  <si>
    <t>2026/03/27</t>
  </si>
  <si>
    <t>東京都中小企業振興公社。新製品・新技術の研究開発経費を助成。年度公募制。詳細な公募時期・要件は公社公式で要確認</t>
  </si>
  <si>
    <t>新型抗菌コーティング剤の開発、IoT連動施工管理</t>
  </si>
  <si>
    <t>市場開拓助成事業（東京都）</t>
  </si>
  <si>
    <t>https://www.tokyo-kosha.or.jp/support/josei/jigyo/shijokaitaku.html</t>
  </si>
  <si>
    <t>上限300万円</t>
  </si>
  <si>
    <r>
      <rPr>
        <sz val="10"/>
        <rFont val="游ゴシック"/>
        <family val="3"/>
        <charset val="128"/>
      </rPr>
      <t>2026/04</t>
    </r>
    <r>
      <rPr>
        <sz val="10"/>
        <rFont val="Noto Sans CJK SC"/>
        <family val="2"/>
      </rPr>
      <t>予定</t>
    </r>
  </si>
  <si>
    <r>
      <rPr>
        <sz val="10"/>
        <rFont val="游ゴシック"/>
        <family val="3"/>
        <charset val="128"/>
      </rPr>
      <t>2026/06</t>
    </r>
    <r>
      <rPr>
        <sz val="10"/>
        <rFont val="Noto Sans CJK SC"/>
        <family val="2"/>
      </rPr>
      <t>予定</t>
    </r>
  </si>
  <si>
    <t>東京都中小企業振興公社。展示会出展等の販路開拓を支援。年度公募制。最新の公募時期は公社公式で要確認</t>
  </si>
  <si>
    <t>建材・住宅展示会出展、業界紙広告</t>
  </si>
  <si>
    <r>
      <rPr>
        <sz val="10"/>
        <rFont val="游ゴシック"/>
        <family val="3"/>
        <charset val="128"/>
      </rPr>
      <t>DX</t>
    </r>
    <r>
      <rPr>
        <sz val="10"/>
        <rFont val="Noto Sans CJK SC"/>
        <family val="2"/>
      </rPr>
      <t>推進助成金（東京都）</t>
    </r>
  </si>
  <si>
    <t>https://www.tokyo-kosha.or.jp/support/josei/setsubijosei/dx.html</t>
  </si>
  <si>
    <t>都内中小企業</t>
  </si>
  <si>
    <t>上限3,000万円</t>
  </si>
  <si>
    <t>東京都中小企業振興公社。DX推進のためのデジタル技術導入を助成。年度公募制。最新の公募状況は公社公式で要確認</t>
  </si>
  <si>
    <t>施工管理DXシステム、AI見積システム</t>
  </si>
  <si>
    <r>
      <rPr>
        <sz val="10"/>
        <rFont val="游ゴシック"/>
        <family val="3"/>
        <charset val="128"/>
      </rPr>
      <t>BCP</t>
    </r>
    <r>
      <rPr>
        <sz val="10"/>
        <rFont val="Noto Sans CJK SC"/>
        <family val="2"/>
      </rPr>
      <t>実践促進助成金（東京都）</t>
    </r>
  </si>
  <si>
    <t>https://www.tokyo-kosha.or.jp/support/josei/setsubijosei/bcp.html</t>
  </si>
  <si>
    <t>単独型 上限1,500万円／連携型 上限3,000万円</t>
  </si>
  <si>
    <t>東京都中小企業振興公社。BCP（事業継続計画）に基づく実践的な取組（設備・物資等）を助成。年度公募制。最新の公募状況は公社公式で要確認</t>
  </si>
  <si>
    <t>倉庫の耐震補強、非常用発電機</t>
  </si>
  <si>
    <t>若手・女性リーダー応援プログラム助成事業（東京都）</t>
  </si>
  <si>
    <t>https://www.sangyo-rodo.metro.tokyo.lg.jp/chushou/shokogyo/sangyo/josei/wakate-josei/</t>
  </si>
  <si>
    <t>東京都産業労働局</t>
  </si>
  <si>
    <t>商店街・店舗開業</t>
  </si>
  <si>
    <t>若手（39歳以下）・女性</t>
  </si>
  <si>
    <t>上限730万円</t>
  </si>
  <si>
    <r>
      <rPr>
        <sz val="10"/>
        <rFont val="游ゴシック"/>
        <family val="3"/>
        <charset val="128"/>
      </rPr>
      <t>2026/05</t>
    </r>
    <r>
      <rPr>
        <sz val="10"/>
        <rFont val="Noto Sans CJK SC"/>
        <family val="2"/>
      </rPr>
      <t>予定</t>
    </r>
  </si>
  <si>
    <t>東京都中小企業振興公社。若手・女性リーダーの新たな事業展開を支援。年度公募制。公募時期は公社公式で要確認</t>
  </si>
  <si>
    <t>商店街でのショールーム開設</t>
  </si>
  <si>
    <t>商店街起業・承継支援事業（東京都）</t>
  </si>
  <si>
    <t>https://www.sangyo-rodo.metro.tokyo.lg.jp/chushou/shokogyo/sangyo/syotengai/</t>
  </si>
  <si>
    <t>商店街での開業・承継</t>
  </si>
  <si>
    <t>創業者・後継者</t>
  </si>
  <si>
    <t>2/3-3/4</t>
  </si>
  <si>
    <t>2026/04/15</t>
  </si>
  <si>
    <t>東京都。商店街での開業・事業承継を支援。年度公募制。公募時期・要件は東京都/公社公式で要確認</t>
  </si>
  <si>
    <t>商店街での店舗承継・改修</t>
  </si>
  <si>
    <t>クラウドファンディング活用助成金（CF活用助成金）（東京都）</t>
  </si>
  <si>
    <t>https://www.tokyo-kosha.or.jp/support/josei/jigyo/cf_kakushinteki.html</t>
  </si>
  <si>
    <t>上限40万円</t>
  </si>
  <si>
    <t>東京都中小企業振興公社。クラウドファンディング活用時の手数料等を助成。年度公募制。最新状況は公社公式で要確認</t>
  </si>
  <si>
    <t>新製品開発のクラウドファンディング</t>
  </si>
  <si>
    <t>東京都中小企業障害者雇用スタート支援奨励金</t>
  </si>
  <si>
    <t>https://www.hataraku.metro.tokyo.lg.jp/shogai/josei/start/</t>
  </si>
  <si>
    <t>障害者雇用実績なしの中小事業主</t>
  </si>
  <si>
    <t>週20h以上 60万円／重度障害者 120万円</t>
  </si>
  <si>
    <t>東京都の障害者雇用スタート支援奨励金。障害者を新規雇用する都内中小企業。通年受付（予算枠あり）。最新の支給額は東京都TOKYOはたらくネット等で要確認</t>
  </si>
  <si>
    <t>事務スタッフとして障害者を初採用</t>
  </si>
  <si>
    <t>東京都正規雇用等転換安定化支援助成金</t>
  </si>
  <si>
    <t>https://www.hataraku.metro.tokyo.lg.jp/seiki-koyo/kigyou/seikitenkan/</t>
  </si>
  <si>
    <t>都内中小企業等</t>
  </si>
  <si>
    <t>計画的育成・退職金・育児支援等で1人20万円～</t>
  </si>
  <si>
    <t>東京都の正規雇用等転換安定化支援助成金。非正規から正規雇用への転換・処遇改善。通年受付（予算枠あり）</t>
  </si>
  <si>
    <t>正社員化スタッフへの福利厚生制度整備</t>
  </si>
  <si>
    <t>東京都就職氷河期世代等安定就業サポート助成金 令和8年度</t>
  </si>
  <si>
    <t>https://www.hataraku.metro.tokyo.lg.jp/seiki-koyo/kigyou/hyogaki/</t>
  </si>
  <si>
    <t>最大240万円（5人まで・介護支援加算あり）</t>
  </si>
  <si>
    <t>2026/05/01</t>
  </si>
  <si>
    <r>
      <rPr>
        <sz val="10"/>
        <rFont val="游ゴシック"/>
        <family val="3"/>
        <charset val="128"/>
      </rPr>
      <t>2027/03</t>
    </r>
    <r>
      <rPr>
        <sz val="10"/>
        <rFont val="Noto Sans CJK SC"/>
        <family val="2"/>
      </rPr>
      <t>予定</t>
    </r>
  </si>
  <si>
    <t>東京都の就職氷河期世代等安定就業サポート助成金 令和8年度。氷河期世代等の正規雇用。年度受付・締切2027/3予定。最新要件は東京都公式で要確認</t>
  </si>
  <si>
    <t>氷河期世代を正社員採用＋育成計画策定</t>
  </si>
  <si>
    <t>令和8年度受付（要公式確認）</t>
  </si>
  <si>
    <t>東京都若者の早期職場定着支援助成金</t>
  </si>
  <si>
    <t>https://www.hataraku.metro.tokyo.lg.jp/seiki-koyo/kigyou/wakate/</t>
  </si>
  <si>
    <t>計画的育成・退職金・育児支援等の整備に応じて支給</t>
  </si>
  <si>
    <t>東京都の若者の早期職場定着支援助成金。若者の定着に向けた制度整備等で助成。年度公募制。最新の要件・公募時期は東京都公式で要確認</t>
  </si>
  <si>
    <t>新卒・第二新卒の定着支援</t>
  </si>
  <si>
    <t>東京都働きやすい職場環境づくり推進奨励金</t>
  </si>
  <si>
    <t>https://www.hataraku.metro.tokyo.lg.jp/kaizen/koyoukankyo/shourei/</t>
  </si>
  <si>
    <t>最大100万円</t>
  </si>
  <si>
    <r>
      <rPr>
        <sz val="10"/>
        <rFont val="游ゴシック"/>
        <family val="3"/>
        <charset val="128"/>
      </rPr>
      <t>2026</t>
    </r>
    <r>
      <rPr>
        <sz val="10"/>
        <rFont val="Noto Sans CJK SC"/>
        <family val="2"/>
      </rPr>
      <t>年度内予定（事前エントリー方式）</t>
    </r>
  </si>
  <si>
    <t>東京都の働きやすい職場環境づくり推進奨励金。職場環境改善の取組で助成。年度公募制。最新状況は東京都公式で要確認</t>
  </si>
  <si>
    <t>短時間勤務制度・看護休暇有給化・介護相談窓口設置</t>
  </si>
  <si>
    <t>手取り時間創出・魅力ある職場づくり推進奨励金（東京都）</t>
  </si>
  <si>
    <t>https://www.tokyo-engagement.jp/</t>
  </si>
  <si>
    <t>（公財）東京しごと財団</t>
  </si>
  <si>
    <t>都内中小企業（300人以下）</t>
  </si>
  <si>
    <t>最大230万円</t>
  </si>
  <si>
    <t>東京都の手取り時間創出・魅力ある職場づくり推進奨励金。労働時間削減等の取組で助成。年度公募制。最新状況は東京都公式で要確認</t>
  </si>
  <si>
    <t>従業員エンゲージメント向上、賃金制度整備</t>
  </si>
  <si>
    <t>働く人の育業応援事業（東京都）★働くパパママ育業応援奨励金後継</t>
  </si>
  <si>
    <t>https://www.koyokankyo.shigotozaidan.or.jp/jigyo/papamama/index.html</t>
  </si>
  <si>
    <t>前年度実績 最大420万円（働くパパママ育業応援奨励金の後継）</t>
  </si>
  <si>
    <t>東京都の働く人の育業応援事業。育児休業（育業）取得促進の取組で奨励金。旧『働くパパママ育業応援奨励金』の後継。年度公募制。最新要件は東京都公式で要確認</t>
  </si>
  <si>
    <t>男性スタッフの長期育休取得促進</t>
  </si>
  <si>
    <t>「年収の壁突破」総合対策促進奨励金（東京都）</t>
  </si>
  <si>
    <t>https://nenshunokabetoppa-syoureikin.jp/</t>
  </si>
  <si>
    <t>都内中小企業事業主</t>
  </si>
  <si>
    <r>
      <rPr>
        <sz val="10"/>
        <rFont val="游ゴシック"/>
        <family val="3"/>
        <charset val="128"/>
      </rPr>
      <t>2</t>
    </r>
    <r>
      <rPr>
        <sz val="10"/>
        <rFont val="Noto Sans CJK SC"/>
        <family val="2"/>
      </rPr>
      <t>コースで合計</t>
    </r>
    <r>
      <rPr>
        <sz val="10"/>
        <rFont val="游ゴシック"/>
        <family val="3"/>
        <charset val="128"/>
      </rPr>
      <t>50</t>
    </r>
    <r>
      <rPr>
        <sz val="10"/>
        <rFont val="Noto Sans CJK SC"/>
        <family val="2"/>
      </rPr>
      <t>万円</t>
    </r>
  </si>
  <si>
    <t>通年（事前エントリー方式）</t>
  </si>
  <si>
    <t>東京都の『年収の壁突破』総合対策促進奨励金。社会保険適用促進の取組で奨励金。通年（予算枠あり）。最新要件は東京都公式で要確認</t>
  </si>
  <si>
    <t>パート従業員の手当見直し・社保加入推進</t>
  </si>
  <si>
    <t>通年（予算枠あり・要確認）</t>
  </si>
  <si>
    <t>東京ライフ・ワーク・バランス認定企業（表彰・PR・入札加点）</t>
  </si>
  <si>
    <t>https://www.hataraku.metro.tokyo.lg.jp/hatarakikata/lwb/ikiiki/nintei/</t>
  </si>
  <si>
    <t>都内本社・主たる事業所、300人以下</t>
  </si>
  <si>
    <t>認定（金銭給付なし）。表彰・PR・入札加点等の間接メリット</t>
  </si>
  <si>
    <t>東京ライフ・ワーク・バランス認定企業。働き方改革に取り組む都内企業を認定。金銭給付はないが都の入札等で加点。年度申請</t>
  </si>
  <si>
    <r>
      <rPr>
        <sz val="10"/>
        <rFont val="游ゴシック"/>
        <family val="3"/>
        <charset val="128"/>
      </rPr>
      <t>BtoG</t>
    </r>
    <r>
      <rPr>
        <sz val="10"/>
        <rFont val="Noto Sans CJK SC"/>
        <family val="2"/>
      </rPr>
      <t>入札（公共工事）の加点取得</t>
    </r>
  </si>
  <si>
    <t>東京都中小企業障害者雇用環境整備奨励金</t>
  </si>
  <si>
    <t>https://www.hataraku.metro.tokyo.lg.jp/shogai/josei/index.html</t>
  </si>
  <si>
    <t>都内中小事業主</t>
  </si>
  <si>
    <t>東京都の中小企業障害者雇用環境整備奨励金。障害者の働く環境整備で奨励金。通年（予算枠あり）。最新の支給額・要件は東京都公式で要確認</t>
  </si>
  <si>
    <t>障害者用設備整備、職場定着支援</t>
  </si>
  <si>
    <t>東京都難病・がん患者の治療と仕事の両立推進奨励金</t>
  </si>
  <si>
    <t>東京都の難病・がん患者の治療と仕事の両立推進奨励金。両立支援制度の整備・運用で奨励金。年度公募制。最新要件は東京都公式で要確認</t>
  </si>
  <si>
    <t>病気治療中スタッフの就業継続</t>
  </si>
  <si>
    <t>クール・ネット東京 中小企業者向け省エネ・再エネ補助</t>
  </si>
  <si>
    <t>https://www.tokyo-co2down.jp/</t>
  </si>
  <si>
    <t>東京都環境局・クール・ネット東京</t>
  </si>
  <si>
    <t>事業別（クール・ネット東京の各補助メニューによる）</t>
  </si>
  <si>
    <t>1/3-2/3</t>
  </si>
  <si>
    <t>東京都環境公社クール・ネット東京の中小企業向け省エネ・再エネ補助。LED・空調・太陽光等。事業別に公募。フロアコート事業の自社施設省エネで活用可。最新の公募メニューはクール・ネット東京公式で要確認</t>
  </si>
  <si>
    <t>事業所のLED化、太陽光、空調更新</t>
  </si>
  <si>
    <t>事業別公募（要公式確認）</t>
  </si>
  <si>
    <t>特別高圧電力・工業用LPガス支援金 第6回（東京都）</t>
  </si>
  <si>
    <t>https://www.tokyo-kosha.or.jp/support/josei/setsubijosei/tokuko.html</t>
  </si>
  <si>
    <t>工場等使用</t>
  </si>
  <si>
    <t>対象事業者</t>
  </si>
  <si>
    <t>特別高圧電力・工業用LPガスの使用量に応じた支援金（単価は要確認）</t>
  </si>
  <si>
    <t>2026/04/09</t>
  </si>
  <si>
    <t>2026/08/31</t>
  </si>
  <si>
    <t>東京都の特別高圧電力・工業用LPガス支援金 第6回。高圧でなく特別高圧受電の事業者等が対象。締切2026/8/31。対象・単価は東京都公式で要確認</t>
  </si>
  <si>
    <t>工場・大規模倉庫の電気・ガス代支援</t>
  </si>
  <si>
    <t>第6回 締切2026/8/31</t>
  </si>
  <si>
    <t>東京都中小企業制度融資（創業・賃上げ等）</t>
  </si>
  <si>
    <t>https://www.sangyo-rodo.metro.tokyo.lg.jp/chushou/shokogyo/seido/</t>
  </si>
  <si>
    <t>最大2.8億円（資金種別による）</t>
  </si>
  <si>
    <t>低利の制度融資（信用保証料補助あり）</t>
  </si>
  <si>
    <t>東京都中小企業制度融資。創業・賃上げ・政策課題対応等のメニュー。令和8年度は政策課題対応資金拡充・プロパー融資促進型新設。通年受付（金融機関・保証協会経由）</t>
  </si>
  <si>
    <t>創業・設備投資の低利融資</t>
  </si>
  <si>
    <t>東京都女性活躍推進融資（TOKYOウィメン・ビズ・サポート）</t>
  </si>
  <si>
    <t>https://www.sangyo-rodo.metro.tokyo.lg.jp/chushou/shokogyo/seido/josei/</t>
  </si>
  <si>
    <t>女性活躍推進の中小企業</t>
  </si>
  <si>
    <t>信用保証料2/3補助・利率優遇（TOKYOウィメン・ビズ・サポート）</t>
  </si>
  <si>
    <t>制度融資（保証料補助・利率優遇）</t>
  </si>
  <si>
    <t>東京都の女性活躍推進融資。女性が代表者または女性活躍推進に取り組む都内中小企業向け。通年受付（金融機関・保証協会経由）</t>
  </si>
  <si>
    <t>女性活躍推進と組合せて低利融資</t>
  </si>
  <si>
    <t>千葉県地域課題解決型起業支援事業補助金</t>
  </si>
  <si>
    <t>https://www.ccjc-net.or.jp/category_list.php?frmCd=48-1-1-0-0</t>
  </si>
  <si>
    <t>（公財）千葉県産業振興センター</t>
  </si>
  <si>
    <t>千葉県</t>
  </si>
  <si>
    <t>創業者</t>
  </si>
  <si>
    <t>上限200万円</t>
  </si>
  <si>
    <t>地域課題解決に資する起業（自治体の年度公募制。公募時期・予算・要件が年度ごとに変動するため、申請時は当該自治体の最新公式情報を必ず確認すること）</t>
  </si>
  <si>
    <t>高齢者向け抗菌コーティング事業立ち上げ</t>
  </si>
  <si>
    <t>自治体年度公募（要公式確認）</t>
  </si>
  <si>
    <t>神奈川県中小企業生産性向上促進事業費補助金（創業者成長支援枠）</t>
  </si>
  <si>
    <t>https://www.pref.kanagawa.jp/docs/jf2/seisansei/r7.html</t>
  </si>
  <si>
    <t>神奈川県</t>
  </si>
  <si>
    <t>創業3-5年程度</t>
  </si>
  <si>
    <r>
      <rPr>
        <sz val="10"/>
        <rFont val="游ゴシック"/>
        <family val="3"/>
        <charset val="128"/>
      </rPr>
      <t>2026/08</t>
    </r>
    <r>
      <rPr>
        <sz val="10"/>
        <rFont val="Noto Sans CJK SC"/>
        <family val="2"/>
      </rPr>
      <t>予定</t>
    </r>
  </si>
  <si>
    <t>【注】神奈川県生産性向上促進事業費補助金の『創業者成長支援枠』。同補助金の一般枠/グループ化支援枠は別掲（次回公募）。創業者の成長段階の設備投資（自治体の年度公募制。公募時期・予算・要件が年度ごとに変動するため、申請時は当該自治体の最新公式情報を必ず確認すること）</t>
  </si>
  <si>
    <t>創業期の機材導入</t>
  </si>
  <si>
    <t>埼玉県中小企業等奨学金返還支援補助金</t>
  </si>
  <si>
    <t>https://www.pref.saitama.lg.jp/a0809/syougakukinhennkann.html</t>
  </si>
  <si>
    <t>埼玉県</t>
  </si>
  <si>
    <t>奨学金返還支援制度を設ける中小企業</t>
  </si>
  <si>
    <r>
      <rPr>
        <sz val="10"/>
        <rFont val="游ゴシック"/>
        <family val="3"/>
        <charset val="128"/>
      </rPr>
      <t>1</t>
    </r>
    <r>
      <rPr>
        <sz val="10"/>
        <rFont val="Noto Sans CJK SC"/>
        <family val="2"/>
      </rPr>
      <t>人最大</t>
    </r>
    <r>
      <rPr>
        <sz val="10"/>
        <rFont val="游ゴシック"/>
        <family val="3"/>
        <charset val="128"/>
      </rPr>
      <t>15</t>
    </r>
    <r>
      <rPr>
        <sz val="10"/>
        <rFont val="Noto Sans CJK SC"/>
        <family val="2"/>
      </rPr>
      <t>万円</t>
    </r>
  </si>
  <si>
    <t>若手人材の確保・定着のための奨学金返還支援（自治体の年度公募制。公募時期・予算・要件が年度ごとに変動するため、申請時は当該自治体の最新公式情報を必ず確認すること）</t>
  </si>
  <si>
    <t>若手施工スタッフの奨学金返還支援</t>
  </si>
  <si>
    <t>埼玉県民間事業者CO2排出削減設備導入補助金【緊急対策枠】</t>
  </si>
  <si>
    <t>https://www.pref.saitama.lg.jp/a0502/co2haisyutsu_setsubidonyu.html</t>
  </si>
  <si>
    <t>県内民間事業者</t>
  </si>
  <si>
    <r>
      <rPr>
        <sz val="10"/>
        <rFont val="游ゴシック"/>
        <family val="3"/>
        <charset val="128"/>
      </rPr>
      <t>CO2</t>
    </r>
    <r>
      <rPr>
        <sz val="10"/>
        <rFont val="Noto Sans CJK SC"/>
        <family val="2"/>
      </rPr>
      <t>排出削減設備導入の緊急対策（自治体の年度公募制。公募時期・予算・要件が年度ごとに変動するため、申請時は当該自治体の最新公式情報を必ず確認すること）</t>
    </r>
  </si>
  <si>
    <t>事業所LED化、高効率空調、太陽光</t>
  </si>
  <si>
    <t>埼玉県中小企業人手不足対応支援事業補助金（R8継続見込み）</t>
  </si>
  <si>
    <t>https://www.pref.saitama.lg.jp/shigoto/sangyo/kigyo/kigyoshien/index.html</t>
  </si>
  <si>
    <t>人手不足の県内中小企業</t>
  </si>
  <si>
    <t>人手不足対応の設備投資・新規導入支援（自治体の年度公募制。公募時期・予算・要件が年度ごとに変動するため、申請時は当該自治体の最新公式情報を必ず確認すること）</t>
  </si>
  <si>
    <t>省力化機器・施工管理システム導入</t>
  </si>
  <si>
    <t>北海道中小・小規模事業者賃上げ環境整備支援補助金</t>
  </si>
  <si>
    <t>https://www.pref.hokkaido.lg.jp/kz/csk/249117.html</t>
  </si>
  <si>
    <t>北海道</t>
  </si>
  <si>
    <t>道内中小・小規模事業者</t>
  </si>
  <si>
    <r>
      <rPr>
        <sz val="10"/>
        <rFont val="游ゴシック"/>
        <family val="3"/>
        <charset val="128"/>
      </rPr>
      <t>200</t>
    </r>
    <r>
      <rPr>
        <sz val="10"/>
        <rFont val="Noto Sans CJK SC"/>
        <family val="2"/>
      </rPr>
      <t>万円または</t>
    </r>
    <r>
      <rPr>
        <sz val="10"/>
        <rFont val="游ゴシック"/>
        <family val="3"/>
        <charset val="128"/>
      </rPr>
      <t>300</t>
    </r>
    <r>
      <rPr>
        <sz val="10"/>
        <rFont val="Noto Sans CJK SC"/>
        <family val="2"/>
      </rPr>
      <t>万円</t>
    </r>
  </si>
  <si>
    <t>1/2 or 3/4</t>
  </si>
  <si>
    <t>賃上げに向けた環境整備。R8.2.20以降経費対象（自治体の年度公募制。公募時期・予算・要件が年度ごとに変動するため、申請時は当該自治体の最新公式情報を必ず確認すること）</t>
  </si>
  <si>
    <t>賃上げと同時の省力化設備導入</t>
  </si>
  <si>
    <t>通年雇用助成金（北海道含む積雪・寒冷地特例）</t>
  </si>
  <si>
    <t>https://www.mhlw.go.jp/stf/seisakunitsuite/bunya/koyou_roudou/koyou/jigyounushi/page04_00018.html</t>
  </si>
  <si>
    <t>北海道等指定地域</t>
  </si>
  <si>
    <t>建設業含む季節労働者多用業種</t>
  </si>
  <si>
    <t>中小建設事業主等</t>
  </si>
  <si>
    <r>
      <rPr>
        <sz val="10"/>
        <rFont val="游ゴシック"/>
        <family val="3"/>
        <charset val="128"/>
      </rPr>
      <t>1</t>
    </r>
    <r>
      <rPr>
        <sz val="10"/>
        <rFont val="Noto Sans CJK SC"/>
        <family val="2"/>
      </rPr>
      <t>人</t>
    </r>
    <r>
      <rPr>
        <sz val="10"/>
        <rFont val="游ゴシック"/>
        <family val="3"/>
        <charset val="128"/>
      </rPr>
      <t>54</t>
    </r>
    <r>
      <rPr>
        <sz val="10"/>
        <rFont val="Noto Sans CJK SC"/>
        <family val="2"/>
      </rPr>
      <t>万円</t>
    </r>
  </si>
  <si>
    <t>積雪寒冷地（北海道等指定地域）で冬期に労働者を継続雇用する事業主への助成。通年。対象地域・季節要件は厚労省公式で要確認</t>
  </si>
  <si>
    <t>冬期も通年雇用に切替えた職人の支援</t>
  </si>
  <si>
    <t>通年（指定地域・要確認）</t>
  </si>
  <si>
    <t>北海道中小企業新応援ファンド事業（2026年度）</t>
  </si>
  <si>
    <t>https://www.hsc.or.jp/</t>
  </si>
  <si>
    <t>（公財）北海道中小企業総合支援センター</t>
  </si>
  <si>
    <t>道内中小企業</t>
  </si>
  <si>
    <t>新事業展開・販路開拓（自治体の年度公募制。公募時期・予算・要件が年度ごとに変動するため、申請時は当該自治体の最新公式情報を必ず確認すること）</t>
  </si>
  <si>
    <t>新製品開発・販路開拓</t>
  </si>
  <si>
    <t>広島県中小企業省エネ設備等導入支援補助金</t>
  </si>
  <si>
    <t>https://www.pref.hiroshima.lg.jp/site/eco/shoenehojokin-r8.html</t>
  </si>
  <si>
    <t>広島県</t>
  </si>
  <si>
    <t>県内中小企業</t>
  </si>
  <si>
    <r>
      <rPr>
        <sz val="10"/>
        <rFont val="游ゴシック"/>
        <family val="3"/>
        <charset val="128"/>
      </rPr>
      <t>1/2</t>
    </r>
    <r>
      <rPr>
        <sz val="10"/>
        <rFont val="Noto Sans CJK SC"/>
        <family val="2"/>
      </rPr>
      <t>（省エネ診断連動で</t>
    </r>
    <r>
      <rPr>
        <sz val="10"/>
        <rFont val="游ゴシック"/>
        <family val="3"/>
        <charset val="128"/>
      </rPr>
      <t>2/3</t>
    </r>
    <r>
      <rPr>
        <sz val="10"/>
        <rFont val="Noto Sans CJK SC"/>
        <family val="2"/>
      </rPr>
      <t>）</t>
    </r>
  </si>
  <si>
    <t>予算5億円。省エネ診断連動で補助率優遇（自治体の年度公募制。公募時期・予算・要件が年度ごとに変動するため、申請時は当該自治体の最新公式情報を必ず確認すること）</t>
  </si>
  <si>
    <t>事業所の高効率設備導入</t>
  </si>
  <si>
    <t>中小・ベンチャー企業チャレンジ応援事業助成金（広島県）</t>
  </si>
  <si>
    <t>https://www.hiwave.or.jp/purpose1/subsidy/</t>
  </si>
  <si>
    <t>（公財）ひろしま産業振興機構</t>
  </si>
  <si>
    <t>県内中小・ベンチャー</t>
  </si>
  <si>
    <t>新事業ライン立ち上げ</t>
  </si>
  <si>
    <t>広島県BCP策定等支援事業</t>
  </si>
  <si>
    <t>https://www.pref.hiroshima.lg.jp/soshiki/70/</t>
  </si>
  <si>
    <r>
      <rPr>
        <sz val="10"/>
        <rFont val="游ゴシック"/>
        <family val="3"/>
        <charset val="128"/>
      </rPr>
      <t>BCP</t>
    </r>
    <r>
      <rPr>
        <sz val="10"/>
        <rFont val="Noto Sans CJK SC"/>
        <family val="2"/>
      </rPr>
      <t>策定・実践支援（自治体の年度公募制。公募時期・予算・要件が年度ごとに変動するため、申請時は当該自治体の最新公式情報を必ず確認すること）</t>
    </r>
  </si>
  <si>
    <t>事業継続計画策定</t>
  </si>
  <si>
    <t>福岡県中小企業生産性向上・賃上げ緊急支援補助金</t>
  </si>
  <si>
    <t>https://www.pref.fukuoka.lg.jp/contents/productivity-improvement-subsidy-2025-26.html</t>
  </si>
  <si>
    <t>福岡県</t>
  </si>
  <si>
    <r>
      <rPr>
        <sz val="10"/>
        <rFont val="游ゴシック"/>
        <family val="3"/>
        <charset val="128"/>
      </rPr>
      <t>DX</t>
    </r>
    <r>
      <rPr>
        <sz val="10"/>
        <rFont val="Noto Sans CJK SC"/>
        <family val="2"/>
      </rPr>
      <t>推進センター支援前提、事業場内最賃</t>
    </r>
    <r>
      <rPr>
        <sz val="10"/>
        <rFont val="游ゴシック"/>
        <family val="3"/>
        <charset val="128"/>
      </rPr>
      <t>30</t>
    </r>
    <r>
      <rPr>
        <sz val="10"/>
        <rFont val="Noto Sans CJK SC"/>
        <family val="2"/>
      </rPr>
      <t>円以上引上げ（自治体の年度公募制。公募時期・予算・要件が年度ごとに変動するため、申請時は当該自治体の最新公式情報を必ず確認すること）</t>
    </r>
  </si>
  <si>
    <t>賃上げと省力化設備の同時実施</t>
  </si>
  <si>
    <t>福岡県中小企業経営革新・賃上げ緊急支援補助金</t>
  </si>
  <si>
    <t>https://www.joho-fukuoka.or.jp/chinage/index.html</t>
  </si>
  <si>
    <t>経営革新計画承認企業</t>
  </si>
  <si>
    <t>経営革新計画＋30円賃上げ実施（自治体の年度公募制。公募時期・予算・要件が年度ごとに変動するため、申請時は当該自治体の最新公式情報を必ず確認すること）</t>
  </si>
  <si>
    <t>経営革新計画と組合せた設備投資</t>
  </si>
  <si>
    <t>福岡よかとこ起業支援金</t>
  </si>
  <si>
    <t>https://fy-kigyo.com/</t>
  </si>
  <si>
    <t>県内創業者</t>
  </si>
  <si>
    <t>県内創業の起業支援金（自治体の年度公募制。公募時期・予算・要件が年度ごとに変動するため、申請時は当該自治体の最新公式情報を必ず確認すること）</t>
  </si>
  <si>
    <t>創業期の事業立上げ</t>
  </si>
  <si>
    <t>沖縄県スタートアップ起業支援金</t>
  </si>
  <si>
    <t>https://www.pref.okinawa.jp/shigoto/shien/1010056/1022724/1010103.html</t>
  </si>
  <si>
    <t>デジタル活用必須</t>
  </si>
  <si>
    <t>デジタル活用必須のスタートアップ支援（自治体の年度公募制。公募時期・予算・要件が年度ごとに変動するため、申請時は当該自治体の最新公式情報を必ず確認すること）</t>
  </si>
  <si>
    <t>デジタル活用の創業（HP・予約管理）</t>
  </si>
  <si>
    <t>中小企業等経営革新強化支援事業費補助金（沖縄県）</t>
  </si>
  <si>
    <t>https://www.pref.okinawa.lg.jp/shigoto/shien/1010056/1022723/1010107.html</t>
  </si>
  <si>
    <t>経営革新計画認定者</t>
  </si>
  <si>
    <t>経営革新計画認定者向け強化支援（自治体の年度公募制。公募時期・予算・要件が年度ごとに変動するため、申請時は当該自治体の最新公式情報を必ず確認すること）</t>
  </si>
  <si>
    <t>経営革新と組合せた事業拡大</t>
  </si>
  <si>
    <t>沖縄振興開発金融公庫 創業者支援資金</t>
  </si>
  <si>
    <t>https://100support.okinawa/</t>
  </si>
  <si>
    <t>沖縄振興開発金融公庫</t>
  </si>
  <si>
    <t>限度7,200万円</t>
  </si>
  <si>
    <t>沖縄振興開発金融公庫の創業者向け融資。沖縄県内で創業する方が対象。沖縄公庫の窓口で随時相談</t>
  </si>
  <si>
    <t>創業期の運転・設備資金</t>
  </si>
  <si>
    <t>通年受付（沖縄県・随時相談）</t>
  </si>
  <si>
    <t>和歌山県中小企業対策（県設備投資・賃上げ等補助金）</t>
  </si>
  <si>
    <t>https://www.pref.wakayama.lg.jp/prefg/060100/</t>
  </si>
  <si>
    <t>和歌山県</t>
  </si>
  <si>
    <t>県の中小企業向け設備投資・賃上げ支援（公式発表待ち）（自治体の年度公募制。公募時期・予算・要件が年度ごとに変動するため、申請時は当該自治体の最新公式情報を必ず確認すること）</t>
  </si>
  <si>
    <t>設備投資・賃上げ実施</t>
  </si>
  <si>
    <t>東京都 展示会出展助成事業（令和8年度）</t>
  </si>
  <si>
    <t>https://www.tokyo-kosha.or.jp/support/josei/jigyo/tenjikai/r8/index.html</t>
  </si>
  <si>
    <t>都内中小企業者・個人事業主</t>
  </si>
  <si>
    <t>上限150万円</t>
  </si>
  <si>
    <t>2026/04/01</t>
  </si>
  <si>
    <t>2027/01/14</t>
  </si>
  <si>
    <t>東京都 展示会出展助成事業 令和8年度。国内外の展示会出展経費を助成。締切2027/1/14。詳細要件は東京都/公社公式で要確認</t>
  </si>
  <si>
    <t>住宅設備・建材・リフォーム展示会への出展費</t>
  </si>
  <si>
    <t>令和8年度受付（締切2027/1/14・要確認）</t>
  </si>
  <si>
    <t>神奈川県 県内企業の国内展示会への出展支援（令和8年度）</t>
  </si>
  <si>
    <t>https://www.kipc.or.jp/topics/information/domestic-expo-support-2026/</t>
  </si>
  <si>
    <t>（公財）神奈川県産業振興センター</t>
  </si>
  <si>
    <t>上限25万円</t>
  </si>
  <si>
    <t>2027/01/31</t>
  </si>
  <si>
    <t>国内専門展示会出展が対象、審査制（自治体の年度公募制。公募時期・予算・要件が年度ごとに変動するため、申請時は当該自治体の最新公式情報を必ず確認すること）</t>
  </si>
  <si>
    <t>工務店・建設会社向け販路開拓展示会出展</t>
  </si>
  <si>
    <t>神奈川県 海外展示会出展に関する助成金（令和8年度）</t>
  </si>
  <si>
    <t>https://www.kipc.or.jp/</t>
  </si>
  <si>
    <t>海外展示会出展経費を補助（自治体の年度公募制。公募時期・予算・要件が年度ごとに変動するため、申請時は当該自治体の最新公式情報を必ず確認すること）</t>
  </si>
  <si>
    <t>オリジナル抗菌コーティング製品の海外マーケティング</t>
  </si>
  <si>
    <t>北海道 省エネルギー設備導入支援事業費補助金</t>
  </si>
  <si>
    <t>https://www.pref.hokkaido.lg.jp/kz/gxs/107905.html</t>
  </si>
  <si>
    <t>道内事業者</t>
  </si>
  <si>
    <t>2026/04/22</t>
  </si>
  <si>
    <t>公募要領参照</t>
  </si>
  <si>
    <t>既存設備更新型の省エネ設備導入が対象</t>
  </si>
  <si>
    <t>作業場空調・照明・給湯・換気系設備の更新</t>
  </si>
  <si>
    <t>北海道 人材確保支援事業（令和8年度）</t>
  </si>
  <si>
    <t>https://www.pref.hokkaido.lg.jp/kz/csk/</t>
  </si>
  <si>
    <r>
      <rPr>
        <sz val="10"/>
        <rFont val="游ゴシック"/>
        <family val="3"/>
        <charset val="128"/>
      </rPr>
      <t>1</t>
    </r>
    <r>
      <rPr>
        <sz val="10"/>
        <rFont val="Noto Sans CJK SC"/>
        <family val="2"/>
      </rPr>
      <t>人</t>
    </r>
    <r>
      <rPr>
        <sz val="10"/>
        <rFont val="游ゴシック"/>
        <family val="3"/>
        <charset val="128"/>
      </rPr>
      <t>10</t>
    </r>
    <r>
      <rPr>
        <sz val="10"/>
        <rFont val="Noto Sans CJK SC"/>
        <family val="2"/>
      </rPr>
      <t>万円</t>
    </r>
  </si>
  <si>
    <t>道内中小企業の人材確保支援。新規採用時の支援（自治体の年度公募制。公募時期・予算・要件が年度ごとに変動するため、申請時は当該自治体の最新公式情報を必ず確認すること）</t>
  </si>
  <si>
    <t>ライフサービス北海道（札幌東区）の採用支援</t>
  </si>
  <si>
    <t>沖縄県 賃上げ・生産性向上緊急支援事業</t>
  </si>
  <si>
    <t>https://www.pref.okinawa.lg.jp/shigoto/shien/1037826.html</t>
  </si>
  <si>
    <t>県内中小企業・小規模事業者</t>
  </si>
  <si>
    <t>上限1,000万円</t>
  </si>
  <si>
    <t>中小3/4・小規模4/5</t>
  </si>
  <si>
    <t>平均給与月額3%引上げを要件に設備投資・研修費を補助（自治体の年度公募制。公募時期・予算・要件が年度ごとに変動するため、申請時は当該自治体の最新公式情報を必ず確認すること）</t>
  </si>
  <si>
    <t>美ら海ハウジング・ひなたの省力化機器・研修・営業DX</t>
  </si>
  <si>
    <t>広島県 中小企業成長加速化補助金（2次公募）</t>
  </si>
  <si>
    <t>上限5億円</t>
  </si>
  <si>
    <t>売上高100億円宣言企業向けの大規模成長投資（自治体の年度公募制。公募時期・予算・要件が年度ごとに変動するため、申請時は当該自治体の最新公式情報を必ず確認すること）</t>
  </si>
  <si>
    <t>コムラの大規模設備投資（広島市西区）</t>
  </si>
  <si>
    <t>杉並区中小企業資金融資（基盤強化・経営安定）</t>
  </si>
  <si>
    <t>https://www.city.suginami.tokyo.jp/guide/shigoto/chusho/index.html</t>
  </si>
  <si>
    <t>杉並区</t>
  </si>
  <si>
    <t>東京都杉並区</t>
  </si>
  <si>
    <t>区内中小企業</t>
  </si>
  <si>
    <t>信用保証料補助あり</t>
  </si>
  <si>
    <t>経営の基盤強化・安定化資金融資。商工会議所連携（自治体の年度公募制。公募時期・予算・要件が年度ごとに変動するため、申請時は当該自治体の最新公式情報を必ず確認すること）</t>
  </si>
  <si>
    <t>経営安定の低利融資</t>
  </si>
  <si>
    <t>練馬区ホームページ作成費補助金</t>
  </si>
  <si>
    <t>https://www.nerima-idc.or.jp/bsc/yuushi/hojokin.html</t>
  </si>
  <si>
    <t>（一社）練馬区産業振興公社</t>
  </si>
  <si>
    <t>東京都練馬区</t>
  </si>
  <si>
    <t>区内中小企業（HP未開設）</t>
  </si>
  <si>
    <t>上限10万円</t>
  </si>
  <si>
    <r>
      <rPr>
        <sz val="10"/>
        <rFont val="游ゴシック"/>
        <family val="3"/>
        <charset val="128"/>
      </rPr>
      <t>2026</t>
    </r>
    <r>
      <rPr>
        <sz val="10"/>
        <rFont val="Noto Sans CJK SC"/>
        <family val="2"/>
      </rPr>
      <t>年度内（先着順）</t>
    </r>
  </si>
  <si>
    <t>予算上限到達時終了</t>
  </si>
  <si>
    <t>事業用HP新規開設費の補助（自治体の年度公募制。公募時期・予算・要件が年度ごとに変動するため、申請時は当該自治体の最新公式情報を必ず確認すること）</t>
  </si>
  <si>
    <t>新規HP開設、ブログサイト立ち上げ</t>
  </si>
  <si>
    <t>A,B</t>
  </si>
  <si>
    <t>練馬区販路拡大支援補助金（見本市等出展）</t>
  </si>
  <si>
    <t>区内中小企業（事業1年以上）</t>
  </si>
  <si>
    <t>上限10万円（団体20万円）</t>
  </si>
  <si>
    <t>見本市・展示会・博覧会出展（自治体の年度公募制。公募時期・予算・要件が年度ごとに変動するため、申請時は当該自治体の最新公式情報を必ず確認すること）</t>
  </si>
  <si>
    <t>建材・住宅展示会への出展費</t>
  </si>
  <si>
    <t>練馬区認証取得支援補助金（ISO9001/14001等）</t>
  </si>
  <si>
    <r>
      <rPr>
        <sz val="10"/>
        <rFont val="游ゴシック"/>
        <family val="3"/>
        <charset val="128"/>
      </rPr>
      <t>ISO9001</t>
    </r>
    <r>
      <rPr>
        <sz val="10"/>
        <rFont val="Noto Sans CJK SC"/>
        <family val="2"/>
      </rPr>
      <t>、</t>
    </r>
    <r>
      <rPr>
        <sz val="10"/>
        <rFont val="游ゴシック"/>
        <family val="3"/>
        <charset val="128"/>
      </rPr>
      <t>ISO14001</t>
    </r>
    <r>
      <rPr>
        <sz val="10"/>
        <rFont val="Noto Sans CJK SC"/>
        <family val="2"/>
      </rPr>
      <t>、</t>
    </r>
    <r>
      <rPr>
        <sz val="10"/>
        <rFont val="游ゴシック"/>
        <family val="3"/>
        <charset val="128"/>
      </rPr>
      <t>P</t>
    </r>
    <r>
      <rPr>
        <sz val="10"/>
        <rFont val="Noto Sans CJK SC"/>
        <family val="2"/>
      </rPr>
      <t>マーク等の認証取得費（自治体の年度公募制。公募時期・予算・要件が年度ごとに変動するため、申請時は当該自治体の最新公式情報を必ず確認すること）</t>
    </r>
  </si>
  <si>
    <r>
      <rPr>
        <sz val="10"/>
        <rFont val="游ゴシック"/>
        <family val="3"/>
        <charset val="128"/>
      </rPr>
      <t>ISO9001</t>
    </r>
    <r>
      <rPr>
        <sz val="10"/>
        <rFont val="Noto Sans CJK SC"/>
        <family val="2"/>
      </rPr>
      <t>・</t>
    </r>
    <r>
      <rPr>
        <sz val="10"/>
        <rFont val="游ゴシック"/>
        <family val="3"/>
        <charset val="128"/>
      </rPr>
      <t>SIAA</t>
    </r>
    <r>
      <rPr>
        <sz val="10"/>
        <rFont val="Noto Sans CJK SC"/>
        <family val="2"/>
      </rPr>
      <t>関連認証取得</t>
    </r>
  </si>
  <si>
    <t>練馬区産業財産権取得支援事業</t>
  </si>
  <si>
    <t>産業財産権出願後1年以内</t>
  </si>
  <si>
    <t>新たな産業財産権取得費（自治体の年度公募制。公募時期・予算・要件が年度ごとに変動するため、申請時は当該自治体の最新公式情報を必ず確認すること）</t>
  </si>
  <si>
    <t>新コーティング技術の特許出願</t>
  </si>
  <si>
    <t>練馬区産業融資あっせん制度（創業支援特別貸付）</t>
  </si>
  <si>
    <t>https://www.city.nerima.tokyo.jp/kusei/sangyo/jigyosha/yushi/</t>
  </si>
  <si>
    <t>練馬区</t>
  </si>
  <si>
    <t>区内中小企業・創業者</t>
  </si>
  <si>
    <t>信用保証料1/2補助、利率0.2%</t>
  </si>
  <si>
    <t>特定創業支援等事業修了者は優遇貸付（自治体の年度公募制。公募時期・予算・要件が年度ごとに変動するため、申請時は当該自治体の最新公式情報を必ず確認すること）</t>
  </si>
  <si>
    <t>創業時の運転資金</t>
  </si>
  <si>
    <t>豊島区中小企業者向け補助金（産業活性化）</t>
  </si>
  <si>
    <t>https://www.city.toshima.lg.jp/177/business/keiei/index.html</t>
  </si>
  <si>
    <t>豊島区</t>
  </si>
  <si>
    <t>東京都豊島区</t>
  </si>
  <si>
    <t>ビジネスチャンス創出・販路拡大（自治体の年度公募制。公募時期・予算・要件が年度ごとに変動するため、申請時は当該自治体の最新公式情報を必ず確認すること）</t>
  </si>
  <si>
    <t>新規顧客開拓、PR活動</t>
  </si>
  <si>
    <t>台東区中小企業デジタル化推進事業助成金</t>
  </si>
  <si>
    <t>https://www.city.taito.lg.jp/sangyokanko/</t>
  </si>
  <si>
    <t>台東区</t>
  </si>
  <si>
    <t>東京都台東区</t>
  </si>
  <si>
    <t>デジタル化機器を区内事業所に導入（自治体の年度公募制。公募時期・予算・要件が年度ごとに変動するため、申請時は当該自治体の最新公式情報を必ず確認すること）</t>
  </si>
  <si>
    <t>現場管理アプリ、施工タブレット</t>
  </si>
  <si>
    <t>台東区クラウドファンディング活用支援助成金</t>
  </si>
  <si>
    <t>購入・寄付型CF利用手数料補助（自治体の年度公募制。公募時期・予算・要件が年度ごとに変動するため、申請時は当該自治体の最新公式情報を必ず確認すること）</t>
  </si>
  <si>
    <t>新製品開発のCF</t>
  </si>
  <si>
    <t>江戸川区中小企業向け補助金（産業ナビ補助金）</t>
  </si>
  <si>
    <t>https://www.city.edogawa.tokyo.jp/business/index.html</t>
  </si>
  <si>
    <t>江戸川区</t>
  </si>
  <si>
    <t>東京都江戸川区</t>
  </si>
  <si>
    <t>販路拡大・経営改善支援（自治体の年度公募制。公募時期・予算・要件が年度ごとに変動するため、申請時は当該自治体の最新公式情報を必ず確認すること）</t>
  </si>
  <si>
    <t>販路拡大、HP改修</t>
  </si>
  <si>
    <t>中央区商工業融資・支援事業</t>
  </si>
  <si>
    <t>https://www.city.chuo.lg.jp/a0033/business/index.html</t>
  </si>
  <si>
    <t>中央区</t>
  </si>
  <si>
    <t>東京都中央区</t>
  </si>
  <si>
    <t>商工業融資・産業活性化（自治体の年度公募制。公募時期・予算・要件が年度ごとに変動するため、申請時は当該自治体の最新公式情報を必ず確認すること）</t>
  </si>
  <si>
    <t>事業資金融資</t>
  </si>
  <si>
    <t>渋谷区店舗開業支援補助金</t>
  </si>
  <si>
    <t>https://www.city.shibuya.tokyo.jp/jigyosha/shoko-rodo-sodan/chusho-yushi/chusho_shien.html</t>
  </si>
  <si>
    <t>渋谷区</t>
  </si>
  <si>
    <t>東京都渋谷区</t>
  </si>
  <si>
    <t>店舗開業</t>
  </si>
  <si>
    <t>区内開業者</t>
  </si>
  <si>
    <t>上限250万円</t>
  </si>
  <si>
    <t>4/5</t>
  </si>
  <si>
    <t>区内での店舗新規開業を支援（自治体の年度公募制。公募時期・予算・要件が年度ごとに変動するため、申請時は当該自治体の最新公式情報を必ず確認すること）</t>
  </si>
  <si>
    <t>ショールーム新規開業</t>
  </si>
  <si>
    <t>渋谷区商店街活性化事業助成金</t>
  </si>
  <si>
    <t>商店街会員</t>
  </si>
  <si>
    <t>商店街・組合</t>
  </si>
  <si>
    <t>商店街活性化のイベント・施設整備（自治体の年度公募制。公募時期・予算・要件が年度ごとに変動するため、申請時は当該自治体の最新公式情報を必ず確認すること）</t>
  </si>
  <si>
    <t>商店街での販促イベント</t>
  </si>
  <si>
    <t>B,C</t>
  </si>
  <si>
    <t>墨田区中小企業向け新ものづくり創出支援助成事業</t>
  </si>
  <si>
    <t>https://www.city.sumida.lg.jp/sangyo_matidukuri/sumidanosangyo/index.html</t>
  </si>
  <si>
    <t>墨田区</t>
  </si>
  <si>
    <t>東京都墨田区</t>
  </si>
  <si>
    <t>区内中小製造業等</t>
  </si>
  <si>
    <t>新ものづくり・新製品開発（自治体の年度公募制。公募時期・予算・要件が年度ごとに変動するため、申請時は当該自治体の最新公式情報を必ず確認すること）</t>
  </si>
  <si>
    <t>新コーティング製品開発</t>
  </si>
  <si>
    <t>八王子市創業支援等事業（特定創業支援）</t>
  </si>
  <si>
    <t>https://www.city.hachioji.tokyo.jp/business/sangyo/sogyo/</t>
  </si>
  <si>
    <t>八王子市</t>
  </si>
  <si>
    <t>東京都八王子市</t>
  </si>
  <si>
    <t>登録免許税1/2軽減、信用保証枠拡大</t>
  </si>
  <si>
    <t>特定創業支援等事業認定で各種優遇（自治体の年度公募制。公募時期・予算・要件が年度ごとに変動するため、申請時は当該自治体の最新公式情報を必ず確認すること）</t>
  </si>
  <si>
    <t>創業時の登録免許税軽減</t>
  </si>
  <si>
    <t>八王子市中小企業設備投資促進事業補助金</t>
  </si>
  <si>
    <t>https://www.city.hachioji.tokyo.jp/business/sangyo/</t>
  </si>
  <si>
    <t>市内中小企業</t>
  </si>
  <si>
    <t>設備投資・生産性向上（自治体の年度公募制。公募時期・予算・要件が年度ごとに変動するため、申請時は当該自治体の最新公式情報を必ず確認すること）</t>
  </si>
  <si>
    <t>施工機材導入</t>
  </si>
  <si>
    <t>八千代市起業・創業支援事業補助金</t>
  </si>
  <si>
    <t>https://www.city.yachiyo.lg.jp/soshikiichiran/keizai/sigotosangyo/</t>
  </si>
  <si>
    <t>八千代市</t>
  </si>
  <si>
    <t>千葉県八千代市</t>
  </si>
  <si>
    <t>市内創業者</t>
  </si>
  <si>
    <t>市内での創業・起業支援（自治体の年度公募制。公募時期・予算・要件が年度ごとに変動するため、申請時は当該自治体の最新公式情報を必ず確認すること）</t>
  </si>
  <si>
    <t>創業時の経費補助</t>
  </si>
  <si>
    <t>八千代市商工業活性化支援補助金</t>
  </si>
  <si>
    <t>中小商工業の活性化（自治体の年度公募制。公募時期・予算・要件が年度ごとに変動するため、申請時は当該自治体の最新公式情報を必ず確認すること）</t>
  </si>
  <si>
    <t>販路拡大、PR活動</t>
  </si>
  <si>
    <t>千葉市産業振興財団 ICT活用生産性向上支援事業</t>
  </si>
  <si>
    <t>https://www.business-chiba.jp/</t>
  </si>
  <si>
    <t>（公財）千葉市産業振興財団</t>
  </si>
  <si>
    <t>千葉県千葉市</t>
  </si>
  <si>
    <r>
      <rPr>
        <sz val="10"/>
        <rFont val="游ゴシック"/>
        <family val="3"/>
        <charset val="128"/>
      </rPr>
      <t>ICT</t>
    </r>
    <r>
      <rPr>
        <sz val="10"/>
        <rFont val="Noto Sans CJK SC"/>
        <family val="2"/>
      </rPr>
      <t>活用による生産性向上支援（自治体の年度公募制。公募時期・予算・要件が年度ごとに変動するため、申請時は当該自治体の最新公式情報を必ず確認すること）</t>
    </r>
  </si>
  <si>
    <t>クラウド受発注、施工管理ソフト</t>
  </si>
  <si>
    <t>千葉市創業支援補助金</t>
  </si>
  <si>
    <t>https://www.city.chiba.jp/keizainosei/keizai/sogyoshien.html</t>
  </si>
  <si>
    <t>千葉市</t>
  </si>
  <si>
    <t>市内での創業支援（自治体の年度公募制。公募時期・予算・要件が年度ごとに変動するため、申請時は当該自治体の最新公式情報を必ず確認すること）</t>
  </si>
  <si>
    <t>創業時の運転資金・設備</t>
  </si>
  <si>
    <t>八潮市中小企業設備投資・賃上げ支援補助金</t>
  </si>
  <si>
    <t>https://www.city.yashio.lg.jp/sangyo/index.html</t>
  </si>
  <si>
    <t>八潮市</t>
  </si>
  <si>
    <t>埼玉県八潮市</t>
  </si>
  <si>
    <t>省人化・省力化設備の取得補助（公式発表待ち）（自治体の年度公募制。公募時期・予算・要件が年度ごとに変動するため、申請時は当該自治体の最新公式情報を必ず確認すること）</t>
  </si>
  <si>
    <t>施工機材・省力化設備導入</t>
  </si>
  <si>
    <t>春日部市中小企業向け補助金（中小企業センター事業）</t>
  </si>
  <si>
    <t>https://www.city.kasukabe.lg.jp/sangyo/index.html</t>
  </si>
  <si>
    <t>春日部市</t>
  </si>
  <si>
    <t>埼玉県春日部市</t>
  </si>
  <si>
    <t>中小企業の経営支援・販路拡大（自治体の年度公募制。公募時期・予算・要件が年度ごとに変動するため、申請時は当該自治体の最新公式情報を必ず確認すること）</t>
  </si>
  <si>
    <t>経営計画策定、販路拡大</t>
  </si>
  <si>
    <t>札幌市創業者支援補助金（地域課題解決型）</t>
  </si>
  <si>
    <t>https://www.city.sapporo.jp/keizai/index.html</t>
  </si>
  <si>
    <t>札幌市</t>
  </si>
  <si>
    <t>北海道札幌市</t>
  </si>
  <si>
    <t>地域課題解決型</t>
  </si>
  <si>
    <t>地域課題解決型起業支援（自治体の年度公募制。公募時期・予算・要件が年度ごとに変動するため、申請時は当該自治体の最新公式情報を必ず確認すること）</t>
  </si>
  <si>
    <t>高齢者向け抗菌コーティング事業</t>
  </si>
  <si>
    <t>札幌市中小企業振興条例補助金（産業振興）</t>
  </si>
  <si>
    <t>中小企業の経営革新・販路開拓（自治体の年度公募制。公募時期・予算・要件が年度ごとに変動するため、申請時は当該自治体の最新公式情報を必ず確認すること）</t>
  </si>
  <si>
    <t>販路拡大、新製品PR</t>
  </si>
  <si>
    <t>福岡市中小企業DX促進補助金</t>
  </si>
  <si>
    <t>https://www.city.fukuoka.lg.jp/keizai/index.html</t>
  </si>
  <si>
    <t>福岡市</t>
  </si>
  <si>
    <t>福岡県福岡市</t>
  </si>
  <si>
    <r>
      <rPr>
        <sz val="10"/>
        <rFont val="游ゴシック"/>
        <family val="3"/>
        <charset val="128"/>
      </rPr>
      <t>DX</t>
    </r>
    <r>
      <rPr>
        <sz val="10"/>
        <rFont val="Noto Sans CJK SC"/>
        <family val="2"/>
      </rPr>
      <t>推進のためのデジタル化（自治体の年度公募制。公募時期・予算・要件が年度ごとに変動するため、申請時は当該自治体の最新公式情報を必ず確認すること）</t>
    </r>
  </si>
  <si>
    <t>施工管理DX、クラウド導入</t>
  </si>
  <si>
    <t>福岡市商店街活性化補助</t>
  </si>
  <si>
    <t>商店街活性化（自治体の年度公募制。公募時期・予算・要件が年度ごとに変動するため、申請時は当該自治体の最新公式情報を必ず確認すること）</t>
  </si>
  <si>
    <t>商店街での販促・イベント</t>
  </si>
  <si>
    <t>浦添市産業振興センター結の街連動補助</t>
  </si>
  <si>
    <t>https://www.city.urasoe.lg.jp/jigyosya/sangyo/</t>
  </si>
  <si>
    <t>浦添市</t>
  </si>
  <si>
    <t>沖縄県浦添市</t>
  </si>
  <si>
    <t>市内産業振興（自治体の年度公募制。公募時期・予算・要件が年度ごとに変動するため、申請時は当該自治体の最新公式情報を必ず確認すること）</t>
  </si>
  <si>
    <t>創業・販路拡大</t>
  </si>
  <si>
    <t>宜野湾市商工振興補助金</t>
  </si>
  <si>
    <t>https://www.city.ginowan.lg.jp/sosiki/keizaikankou/</t>
  </si>
  <si>
    <t>宜野湾市</t>
  </si>
  <si>
    <t>沖縄県宜野湾市</t>
  </si>
  <si>
    <t>市内中小企業の振興（自治体の年度公募制。公募時期・予算・要件が年度ごとに変動するため、申請時は当該自治体の最新公式情報を必ず確認すること）</t>
  </si>
  <si>
    <t>広島市創業支援補助金</t>
  </si>
  <si>
    <t>https://www.city.hiroshima.lg.jp/site/keizai/</t>
  </si>
  <si>
    <t>広島市</t>
  </si>
  <si>
    <t>広島県広島市</t>
  </si>
  <si>
    <t>創業期の経費補助</t>
  </si>
  <si>
    <t>広島市中小企業助成金（販路開拓・展示会出展）</t>
  </si>
  <si>
    <t>販路開拓・展示会出展支援（自治体の年度公募制。公募時期・予算・要件が年度ごとに変動するため、申請時は当該自治体の最新公式情報を必ず確認すること）</t>
  </si>
  <si>
    <t>建材展示会出展、販路拡大</t>
  </si>
  <si>
    <t>千代田区 中小企業販路拡大事業支援補助</t>
  </si>
  <si>
    <t>https://www.city.chiyoda.lg.jp/koho/shigoto/jigyosho/josei/hanrokakudai.html</t>
  </si>
  <si>
    <t>千代田区</t>
  </si>
  <si>
    <t>東京都千代田区</t>
  </si>
  <si>
    <t>区内に本店・主たる事業所を持つ中小企業者</t>
  </si>
  <si>
    <r>
      <rPr>
        <sz val="10"/>
        <rFont val="游ゴシック"/>
        <family val="3"/>
        <charset val="128"/>
      </rPr>
      <t>10</t>
    </r>
    <r>
      <rPr>
        <sz val="10"/>
        <rFont val="Noto Sans CJK SC"/>
        <family val="2"/>
      </rPr>
      <t xml:space="preserve">万円 </t>
    </r>
    <r>
      <rPr>
        <sz val="10"/>
        <rFont val="游ゴシック"/>
        <family val="3"/>
        <charset val="128"/>
      </rPr>
      <t>or 20</t>
    </r>
    <r>
      <rPr>
        <sz val="10"/>
        <rFont val="Noto Sans CJK SC"/>
        <family val="2"/>
      </rPr>
      <t>万円</t>
    </r>
  </si>
  <si>
    <t>展示会・オンライン展示会への出展経費（自治体の年度公募制。公募時期・予算・要件が年度ごとに変動するため、申請時は当該自治体の最新公式情報を必ず確認すること）</t>
  </si>
  <si>
    <t>建材・住宅関連展示会への小規模出展</t>
  </si>
  <si>
    <t>世田谷区 ビジネスマッチングイベント出展支援事業補助金</t>
  </si>
  <si>
    <t>https://www.city.setagaya.lg.jp/03647/10943.html</t>
  </si>
  <si>
    <t>世田谷区</t>
  </si>
  <si>
    <t>東京都世田谷区</t>
  </si>
  <si>
    <t>区内中小企業者</t>
  </si>
  <si>
    <t>区内事業所保有・税滞納なし・同種助成との重複不可（自治体の年度公募制。公募時期・予算・要件が年度ごとに変動するため、申請時は当該自治体の最新公式情報を必ず確認すること）</t>
  </si>
  <si>
    <t>地域商談会・BtoBマッチング参加の負担軽減</t>
  </si>
  <si>
    <t>川崎市 中小企業成長環境支援補助金（令和8年度）</t>
  </si>
  <si>
    <t>https://www.city.kawasaki.jp/keizai/index.html</t>
  </si>
  <si>
    <t>川崎市</t>
  </si>
  <si>
    <t>神奈川県川崎市</t>
  </si>
  <si>
    <t>2026/09/30</t>
  </si>
  <si>
    <t>成長促進のための設備投資・人材育成等（自治体の年度公募制。公募時期・予算・要件が年度ごとに変動するため、申請時は当該自治体の最新公式情報を必ず確認すること）</t>
  </si>
  <si>
    <t>施工機材・施工管理システム導入</t>
  </si>
  <si>
    <t>杉並区 エコ住宅促進助成（窓等断熱改修）</t>
  </si>
  <si>
    <t>https://www.city.suginami.tokyo.jp/guide/kankyo/index.html</t>
  </si>
  <si>
    <t>区内住宅改修者</t>
  </si>
  <si>
    <t>規定による</t>
  </si>
  <si>
    <t>窓等の断熱改修費を区が補助。BtoC向け施主補助（自治体の年度公募制。公募時期・予算・要件が年度ごとに変動するため、申請時は当該自治体の最新公式情報を必ず確認すること）</t>
  </si>
  <si>
    <t>★エムズクリエイト所在地。施主への提案フックとして活用可</t>
  </si>
  <si>
    <t>相模原市 スマートエネルギー設備等導入奨励金</t>
  </si>
  <si>
    <t>https://www.city.sagamihara.kanagawa.jp/sangyo/index.html</t>
  </si>
  <si>
    <t>相模原市</t>
  </si>
  <si>
    <t>神奈川県相模原市</t>
  </si>
  <si>
    <t>市内事業者・住民</t>
  </si>
  <si>
    <t>太陽光・蓄電池・HEMS等のスマートエネルギー設備導入（自治体の年度公募制。公募時期・予算・要件が年度ごとに変動するため、申請時は当該自治体の最新公式情報を必ず確認すること）</t>
  </si>
  <si>
    <t>事業所のスマートエネルギー化、施主への提案フック</t>
  </si>
  <si>
    <t>相模原市 次世代クリーンエネルギー自動車普及促進奨励金</t>
  </si>
  <si>
    <r>
      <rPr>
        <sz val="10"/>
        <rFont val="游ゴシック"/>
        <family val="3"/>
        <charset val="128"/>
      </rPr>
      <t>EV</t>
    </r>
    <r>
      <rPr>
        <sz val="10"/>
        <rFont val="Noto Sans CJK SC"/>
        <family val="2"/>
      </rPr>
      <t>・</t>
    </r>
    <r>
      <rPr>
        <sz val="10"/>
        <rFont val="游ゴシック"/>
        <family val="3"/>
        <charset val="128"/>
      </rPr>
      <t>FCV</t>
    </r>
    <r>
      <rPr>
        <sz val="10"/>
        <rFont val="Noto Sans CJK SC"/>
        <family val="2"/>
      </rPr>
      <t>等の次世代クリーンエネルギー自動車の購入補助（自治体の年度公募制。公募時期・予算・要件が年度ごとに変動するため、申請時は当該自治体の最新公式情報を必ず確認すること）</t>
    </r>
  </si>
  <si>
    <t>営業車のEV化、施主への提案フック</t>
  </si>
  <si>
    <t>広島市 中山間地域における中小企業の人材確保支援事業補助金</t>
  </si>
  <si>
    <t>https://www.city.hiroshima.lg.jp/business/sangyo/1021490/1024252/1017530.html</t>
  </si>
  <si>
    <t>中山間地域の中小企業</t>
  </si>
  <si>
    <t>雇用保険加入者40万円/人</t>
  </si>
  <si>
    <t>2027/01/29</t>
  </si>
  <si>
    <t>新規雇用人数に応じて補助、PR経費補助も併設（自治体の年度公募制。公募時期・予算・要件が年度ごとに変動するため、申請時は当該自治体の最新公式情報を必ず確認すること）</t>
  </si>
  <si>
    <t>郊外拠点・多能工採用時の採用費負担軽減（中山間地域限定）</t>
  </si>
  <si>
    <t>融資・資金繰り安全網</t>
  </si>
  <si>
    <t>日本政策金融公庫 セーフティネット貸付（経営環境変化対応資金）</t>
  </si>
  <si>
    <t>https://www.jfc.go.jp/n/finance/search/07_keieisien_m.html</t>
  </si>
  <si>
    <t>国民生活事業：7,200万円／中小企業事業：直接貸付7億2千万円</t>
  </si>
  <si>
    <t>基準利率（中東情勢・原材料高等で売上等5%減なら基準利率-0.4%。長期運転は上限3.0%）</t>
  </si>
  <si>
    <t>通年（随時申込）</t>
  </si>
  <si>
    <t>【注】本制度はNo52（税制優遇・金融支援カテゴリ）と同一制度。検索利便のため2箇所掲載。No56と同一制度。社会的経済的環境変化で売上減等。中東情勢等で売上5%減なら金利優遇。設備20年・運転10年（据置3年）。最寄り公庫支店へ相談</t>
  </si>
  <si>
    <t>原油・原材料高や受注減による資金繰り悪化時の長期運転・設備資金。最も申込しやすい公的融資</t>
  </si>
  <si>
    <t>中東・ウクライナ情勢・原油価格上昇等に関する特別相談窓口</t>
  </si>
  <si>
    <t>https://www.chusho.meti.go.jp/keiei/antei/kokusai_josei/index.html</t>
  </si>
  <si>
    <t>中小企業庁（公庫・商工中金・信用保証協会・商工会議所・よろず支援拠点等）</t>
  </si>
  <si>
    <t>相談無料（融資・保証へ取次）</t>
  </si>
  <si>
    <r>
      <rPr>
        <sz val="10"/>
        <rFont val="游ゴシック"/>
        <family val="3"/>
        <charset val="128"/>
      </rPr>
      <t>2026/03/23</t>
    </r>
    <r>
      <rPr>
        <sz val="10"/>
        <rFont val="Noto Sans CJK SC"/>
        <family val="2"/>
      </rPr>
      <t>拡充済</t>
    </r>
  </si>
  <si>
    <t>通年（随時相談）</t>
  </si>
  <si>
    <t>日本公庫・信用保証協会・商工会議所等に設置の特別相談窓口。中東・ウクライナ情勢、原油・物価高の影響を受けた事業者の経営相談。随時利用可（申請ではなく相談）</t>
  </si>
  <si>
    <t>まず相談すべき入口。融資の要否・最適制度の選定を無料で相談可能</t>
  </si>
  <si>
    <t>セーフティネット保証5号（業況悪化業種・全国）</t>
  </si>
  <si>
    <t>https://www.chusho.meti.go.jp/kinyu/sefu_net_5gou.html</t>
  </si>
  <si>
    <t>中小企業庁／信用保証協会／市区町村</t>
  </si>
  <si>
    <t>指定業種（四半期毎に更新）</t>
  </si>
  <si>
    <t>指定業種の中小企業者</t>
  </si>
  <si>
    <t>一般保証とは別枠で最大2億8,000万円（保証割合80%）</t>
  </si>
  <si>
    <t>信用保証料（協会区分による）</t>
  </si>
  <si>
    <r>
      <rPr>
        <sz val="10"/>
        <rFont val="游ゴシック"/>
        <family val="3"/>
        <charset val="128"/>
      </rPr>
      <t>2026/04/01</t>
    </r>
    <r>
      <rPr>
        <sz val="10"/>
        <rFont val="Noto Sans CJK SC"/>
        <family val="2"/>
      </rPr>
      <t>～</t>
    </r>
    <r>
      <rPr>
        <sz val="10"/>
        <rFont val="游ゴシック"/>
        <family val="3"/>
        <charset val="128"/>
      </rPr>
      <t>06/30</t>
    </r>
    <r>
      <rPr>
        <sz val="10"/>
        <rFont val="Noto Sans CJK SC"/>
        <family val="2"/>
      </rPr>
      <t>（指定期間）</t>
    </r>
  </si>
  <si>
    <t>指定期間内に市区町村認定申請</t>
  </si>
  <si>
    <t>業況悪化業種（全国）の中小企業向け。指定業種は四半期ごと更新（令和8年4月1日～6月30日の指定業種告示済、7月以降は更新）。直近3か月売上が前年比5%以上減等。市区町村の認定（指定期間内申請）が必要</t>
  </si>
  <si>
    <t>建設・内装関連が指定業種の四半期は積極活用。一般保証と別枠で資金調達枠を拡大</t>
  </si>
  <si>
    <t>指定業種は四半期更新（市区町村認定）</t>
  </si>
  <si>
    <t>要公式確認（指定業種）</t>
  </si>
  <si>
    <t>セーフティネット保証4号（突発的災害・全国指定時）</t>
  </si>
  <si>
    <t>https://www.chusho.meti.go.jp/kinyu/sefu_net_4gou.htm</t>
  </si>
  <si>
    <t>全国（指定地域）</t>
  </si>
  <si>
    <t>不問（全業種）</t>
  </si>
  <si>
    <t>指定地域の中小企業者</t>
  </si>
  <si>
    <t>一般保証とは別枠で最大2億8,000万円（保証割合100%）</t>
  </si>
  <si>
    <t>災害等指定時のみ発動</t>
  </si>
  <si>
    <t>突発的災害（自然災害・取引先倒産等）で国が地域指定した場合に発動。直近1か月売上が前年比20%以上減等。市区町村の認定が必要。発動状況は中小企業庁公式で要確認</t>
  </si>
  <si>
    <t>大規模災害・危機指定時の緊急資金繰り。100%保証で調達しやすい</t>
  </si>
  <si>
    <t>国の地域指定時に発動（要確認）</t>
  </si>
  <si>
    <t>要公式確認（指定時）</t>
  </si>
  <si>
    <t>モニタリング強化型保証制度（物価高・人手不足対応）</t>
  </si>
  <si>
    <t>https://www.chusho.meti.go.jp/kinyu/sefu_net_gaiyou.html</t>
  </si>
  <si>
    <t>中小企業庁／信用保証協会</t>
  </si>
  <si>
    <t>物価高・人手不足等の影響を受ける中小企業者</t>
  </si>
  <si>
    <t>別枠保証</t>
  </si>
  <si>
    <t>責任共有保証80%（100%保証・SN5号からの借換は100%）。国補助で保証料率0.4%軽減</t>
  </si>
  <si>
    <r>
      <rPr>
        <sz val="10"/>
        <rFont val="游ゴシック"/>
        <family val="3"/>
        <charset val="128"/>
      </rPr>
      <t>2025/03/14</t>
    </r>
    <r>
      <rPr>
        <sz val="10"/>
        <rFont val="Noto Sans CJK SC"/>
        <family val="2"/>
      </rPr>
      <t>取扱開始</t>
    </r>
  </si>
  <si>
    <t>通年（金融機関経由）</t>
  </si>
  <si>
    <t>物価高・人手不足対応のモニタリング強化型保証。金融機関の継続的な経営支援（モニタリング）を前提に信用保証協会が保証。詳細・取扱は各信用保証協会で要確認</t>
  </si>
  <si>
    <t>物価高・人手不足局面での資金繰り。保証料軽減で負担を抑制</t>
  </si>
  <si>
    <t>通年（金融機関経由・要確認）</t>
  </si>
  <si>
    <t>日本政策金融公庫 取引企業倒産対応資金</t>
  </si>
  <si>
    <t>https://www.jfc.go.jp/n/finance/search/06_torihikikigyou_m.html</t>
  </si>
  <si>
    <t>取引先倒産で経営困難な中小企業者</t>
  </si>
  <si>
    <t>別枠（取引企業倒産対応資金。公庫の定める限度額）</t>
  </si>
  <si>
    <t>取引先企業の倒産により売掛金回収困難等となった中小企業向けの日本公庫融資。倒産企業との取引事実等が要件。最寄り公庫支店へ随時相談</t>
  </si>
  <si>
    <t>元請・主要取引先の倒産時の連鎖防止資金。建設業の元請倒産リスクに対応</t>
  </si>
  <si>
    <t>民間金融機関 中東情勢対応ローン（例：信用金庫等の独自融資）</t>
  </si>
  <si>
    <t>https://www.shinkin.co.jp/seibu/business/loan/middle_east_loan.html</t>
  </si>
  <si>
    <t>各信用金庫・地方銀行等（例：西武信用金庫）</t>
  </si>
  <si>
    <t>各金融機関の営業エリア</t>
  </si>
  <si>
    <t>取引先中小企業・小規模事業者</t>
  </si>
  <si>
    <t>金融機関ごとに設定（例：5,000万円等）</t>
  </si>
  <si>
    <t>金融機関ごとに優遇金利を設定</t>
  </si>
  <si>
    <t>各金融機関で取扱中</t>
  </si>
  <si>
    <t>通年（取引金融機関へ相談）</t>
  </si>
  <si>
    <t>信用金庫・地方銀行等の民間金融機関が独自に設ける中東情勢・物価高対応の融資商品。内容は金融機関ごとに異なる。取引金融機関へ要相談（特定の国制度ではない）</t>
  </si>
  <si>
    <t>取引信用金庫・銀行が独自ローンを持つ場合に活用。まず取引行へ相談</t>
  </si>
  <si>
    <t>金融機関により異なる（要相談）</t>
  </si>
  <si>
    <t>要金融機関確認</t>
  </si>
  <si>
    <t>雇用調整助成金（燃油高騰・経済上の理由による休業対応）</t>
  </si>
  <si>
    <r>
      <rPr>
        <sz val="10"/>
        <rFont val="游ゴシック"/>
        <family val="3"/>
        <charset val="128"/>
      </rPr>
      <t>1</t>
    </r>
    <r>
      <rPr>
        <sz val="10"/>
        <rFont val="Noto Sans CJK SC"/>
        <family val="2"/>
      </rPr>
      <t>人</t>
    </r>
    <r>
      <rPr>
        <sz val="10"/>
        <rFont val="游ゴシック"/>
        <family val="3"/>
        <charset val="128"/>
      </rPr>
      <t>1</t>
    </r>
    <r>
      <rPr>
        <sz val="10"/>
        <rFont val="Noto Sans CJK SC"/>
        <family val="2"/>
      </rPr>
      <t>日上限</t>
    </r>
    <r>
      <rPr>
        <sz val="10"/>
        <rFont val="游ゴシック"/>
        <family val="3"/>
        <charset val="128"/>
      </rPr>
      <t>8,870</t>
    </r>
    <r>
      <rPr>
        <sz val="10"/>
        <rFont val="Noto Sans CJK SC"/>
        <family val="2"/>
      </rPr>
      <t>円（中小</t>
    </r>
    <r>
      <rPr>
        <sz val="10"/>
        <rFont val="游ゴシック"/>
        <family val="3"/>
        <charset val="128"/>
      </rPr>
      <t>2/3</t>
    </r>
    <r>
      <rPr>
        <sz val="10"/>
        <rFont val="Noto Sans CJK SC"/>
        <family val="2"/>
      </rPr>
      <t>助成）</t>
    </r>
  </si>
  <si>
    <t>通年（休業前に計画届）</t>
  </si>
  <si>
    <t>燃油高騰による受注減・売上減は『経済上の理由』に該当。最近3か月の売上高が前年同期比10%以上減少等。労使協定締結が必要。1年100日・3年150日（令和8年度要領で上限8,870円・教育訓練加算1,200～1,800円を確認済）</t>
  </si>
  <si>
    <t>原油・資材高や受注減で施工スタッフを休業させる際の人件費補填。解雇回避の最優先策</t>
  </si>
  <si>
    <t>未払賃金立替払制度（倒産時の従業員保護）</t>
  </si>
  <si>
    <t>https://www.johas.go.jp/tatekae/tabid/177/Default.aspx</t>
  </si>
  <si>
    <t>労働者健康安全機構（申請窓口：労働基準監督署）</t>
  </si>
  <si>
    <t>倒産企業の退職労働者</t>
  </si>
  <si>
    <t>未払賃金の一定割合（年齢区分により上限額あり）を国が立替払</t>
  </si>
  <si>
    <t>立替払（労働者保護制度。事業主の申請制度ではない）</t>
  </si>
  <si>
    <t>倒産後2年以内に請求</t>
  </si>
  <si>
    <t>企業倒産により賃金が未払のまま退職した労働者を保護する制度（賃金の支払の確保等に関する法律）。労働者本人が労働基準監督署・労働者健康安全機構へ請求。事業主向けの補助金ではない（従業員保護の背景情報）</t>
  </si>
  <si>
    <t>万一の倒産時に従業員を守る最後の砦。経営者が制度の存在を従業員に説明できるよう把握しておく</t>
  </si>
  <si>
    <t>制度（労働者本人が請求）</t>
  </si>
  <si>
    <t>制度（労働者保護）</t>
  </si>
  <si>
    <t>燃料油価格激変緩和措置（ガソリン・軽油・灯油・重油補助）</t>
  </si>
  <si>
    <t>https://www.enecho.meti.go.jp/category/resources_and_fuel/distribution/hogeki/</t>
  </si>
  <si>
    <t>経済産業省・資源エネルギー庁</t>
  </si>
  <si>
    <t>燃料を使用する全事業者・国民（元売事業者経由で価格抑制）</t>
  </si>
  <si>
    <t>小売価格抑制（事業者の直接申請不要）</t>
  </si>
  <si>
    <r>
      <rPr>
        <sz val="10"/>
        <rFont val="游ゴシック"/>
        <family val="3"/>
        <charset val="128"/>
      </rPr>
      <t>2026/03/19</t>
    </r>
    <r>
      <rPr>
        <sz val="10"/>
        <rFont val="Noto Sans CJK SC"/>
        <family val="2"/>
      </rPr>
      <t>発動中</t>
    </r>
  </si>
  <si>
    <t>情勢により政府判断（縮小・終了あり）</t>
  </si>
  <si>
    <t>中東情勢等による燃油高騰を受けた価格抑制措置。元売り等への補助で小売価格に反映される仕組みであり、JHCA加盟店が直接申請する補助金ではない（燃料費負担軽減の背景情報として活用）</t>
  </si>
  <si>
    <t>施工車両の燃料費・現場暖房用灯油重油の負担を間接的に軽減。価格動向の注視が必要</t>
  </si>
  <si>
    <t>発動中（政府判断で縮小・終了あり）</t>
  </si>
  <si>
    <t>申請不要（価格抑制措置）</t>
  </si>
  <si>
    <t>ものづくり・商業・サービス生産性向上促進補助金（次回公募・第24次想定）</t>
  </si>
  <si>
    <t>https://portal.monodukuri-hojo.jp/</t>
  </si>
  <si>
    <t>中小企業庁（事務局：全国中小企業団体中央会等）</t>
  </si>
  <si>
    <t>中小企業（従業員1名以上必須）</t>
  </si>
  <si>
    <t>最大4,000万円（成長分野進出類型）／通常2,500万円等 ※従業員数・類型で変動</t>
  </si>
  <si>
    <r>
      <rPr>
        <sz val="10"/>
        <rFont val="游ゴシック"/>
        <family val="3"/>
        <charset val="128"/>
      </rPr>
      <t>1/2</t>
    </r>
    <r>
      <rPr>
        <sz val="10"/>
        <rFont val="Noto Sans CJK SC"/>
        <family val="2"/>
      </rPr>
      <t>（小規模・再生事業者</t>
    </r>
    <r>
      <rPr>
        <sz val="10"/>
        <rFont val="游ゴシック"/>
        <family val="3"/>
        <charset val="128"/>
      </rPr>
      <t>2/3</t>
    </r>
    <r>
      <rPr>
        <sz val="10"/>
        <rFont val="Noto Sans CJK SC"/>
        <family val="2"/>
      </rPr>
      <t>）</t>
    </r>
  </si>
  <si>
    <t>次回公募 日程未定（第23次は2026/5/8締切済）</t>
  </si>
  <si>
    <t>次回公募の公募要領で要確認（新事業進出補助金との統合予定あり）</t>
  </si>
  <si>
    <t>【統合】2026年度後半にものづくり補助金と新事業進出補助金の統合が予定。最新の枠組みは公式で要確認。革新的な新製品・新サービス開発／海外需要開拓。DX・GX対応の成長分野進出類型あり。GビズID必須。給与支給総額目標未達は補助金返還。第23次は締切済のため次回公募を要公式確認</t>
  </si>
  <si>
    <r>
      <rPr>
        <sz val="10"/>
        <rFont val="游ゴシック"/>
        <family val="3"/>
        <charset val="128"/>
      </rPr>
      <t>UV</t>
    </r>
    <r>
      <rPr>
        <sz val="10"/>
        <rFont val="Noto Sans CJK SC"/>
        <family val="2"/>
      </rPr>
      <t>硬化型・</t>
    </r>
    <r>
      <rPr>
        <sz val="10"/>
        <rFont val="游ゴシック"/>
        <family val="3"/>
        <charset val="128"/>
      </rPr>
      <t>SIAA</t>
    </r>
    <r>
      <rPr>
        <sz val="10"/>
        <rFont val="Noto Sans CJK SC"/>
        <family val="2"/>
      </rPr>
      <t>認証コーティング製品の高付加価値化、研磨機等の設備投資</t>
    </r>
  </si>
  <si>
    <t>ペルソナB・C</t>
  </si>
  <si>
    <t>高</t>
  </si>
  <si>
    <t>次回公募 日程未定（要公式確認）</t>
  </si>
  <si>
    <t>中小企業新事業進出補助金（次回公募・統合後の枠組み要確認）</t>
  </si>
  <si>
    <t>https://shinjigyou-shinshutsu.smrj.go.jp/</t>
  </si>
  <si>
    <t>最大9,000万円（大幅賃上げ特例）</t>
  </si>
  <si>
    <r>
      <rPr>
        <sz val="10"/>
        <rFont val="游ゴシック"/>
        <family val="3"/>
        <charset val="128"/>
      </rPr>
      <t>1/2</t>
    </r>
    <r>
      <rPr>
        <sz val="10"/>
        <rFont val="Noto Sans CJK SC"/>
        <family val="2"/>
      </rPr>
      <t>（賃金特例で</t>
    </r>
    <r>
      <rPr>
        <sz val="10"/>
        <rFont val="游ゴシック"/>
        <family val="3"/>
        <charset val="128"/>
      </rPr>
      <t>2/3</t>
    </r>
    <r>
      <rPr>
        <sz val="10"/>
        <rFont val="Noto Sans CJK SC"/>
        <family val="2"/>
      </rPr>
      <t>）</t>
    </r>
  </si>
  <si>
    <t>次回公募 日程未定（第4回は2026/6/19締切）</t>
  </si>
  <si>
    <t>次回公募の公募要領で要確認（ものづくり補助金との統合予定あり）</t>
  </si>
  <si>
    <t>【統合】2026年度後半にものづくり補助金と統合予定。統合後の名称・枠組みは公式で要確認。新市場・高付加価値事業への進出。事業計画書必須。第4回は2026/6/19締切のため次回公募を要公式確認</t>
  </si>
  <si>
    <t>床コーティング以外の新分野（抗菌・環境・メンテナンス事業等）への進出</t>
  </si>
  <si>
    <t>ペルソナC</t>
  </si>
  <si>
    <t>事業承継・M&amp;A補助金（次回公募・第15次想定）</t>
  </si>
  <si>
    <t>https://shoukei-mahojokin.go.jp/</t>
  </si>
  <si>
    <t>事業承継促進枠800万(賃上げ1,000万)／専門家活用枠600-800万／PMI推進枠／廃業再チャレンジ枠300万。100億宣言特例で最大2,000万円</t>
  </si>
  <si>
    <r>
      <rPr>
        <sz val="10"/>
        <rFont val="游ゴシック"/>
        <family val="3"/>
        <charset val="128"/>
      </rPr>
      <t>1/2</t>
    </r>
    <r>
      <rPr>
        <sz val="10"/>
        <rFont val="Noto Sans CJK SC"/>
        <family val="2"/>
      </rPr>
      <t>（赤字・営業利益率低下・小規模事業者</t>
    </r>
    <r>
      <rPr>
        <sz val="10"/>
        <rFont val="游ゴシック"/>
        <family val="3"/>
        <charset val="128"/>
      </rPr>
      <t>2/3</t>
    </r>
    <r>
      <rPr>
        <sz val="10"/>
        <rFont val="Noto Sans CJK SC"/>
        <family val="2"/>
      </rPr>
      <t>）</t>
    </r>
  </si>
  <si>
    <t>次回公募 日程未定（第14次は2026/4/3締切済）</t>
  </si>
  <si>
    <t>次回公募の公募要領で要確認</t>
  </si>
  <si>
    <t>親族内・従業員承継／M&amp;A／PMI／廃業再チャレンジの4枠。電子申請（Jグランツ）のみ。GビズIDプライム必須。交付決定前の契約は対象外。第14次は締切済のため次回公募を要公式確認</t>
  </si>
  <si>
    <t>後継者不在の加盟店の事業承継、同業M&amp;Aによる事業拡大</t>
  </si>
  <si>
    <t>小規模事業者持続化補助金〈創業型〉（次回公募）</t>
  </si>
  <si>
    <t>https://www.chusho.meti.go.jp/keiei/shokibo/jizoku/</t>
  </si>
  <si>
    <t>創業1年以内の小規模事業者</t>
  </si>
  <si>
    <r>
      <rPr>
        <sz val="10"/>
        <rFont val="游ゴシック"/>
        <family val="3"/>
        <charset val="128"/>
      </rPr>
      <t>200</t>
    </r>
    <r>
      <rPr>
        <sz val="10"/>
        <rFont val="Noto Sans CJK SC"/>
        <family val="2"/>
      </rPr>
      <t>万円（インボイス特例等で最大</t>
    </r>
    <r>
      <rPr>
        <sz val="10"/>
        <rFont val="游ゴシック"/>
        <family val="3"/>
        <charset val="128"/>
      </rPr>
      <t>250</t>
    </r>
    <r>
      <rPr>
        <sz val="10"/>
        <rFont val="Noto Sans CJK SC"/>
        <family val="2"/>
      </rPr>
      <t>万円）</t>
    </r>
  </si>
  <si>
    <r>
      <rPr>
        <sz val="10"/>
        <rFont val="游ゴシック"/>
        <family val="3"/>
        <charset val="128"/>
      </rPr>
      <t>2/3</t>
    </r>
    <r>
      <rPr>
        <sz val="10"/>
        <rFont val="Noto Sans CJK SC"/>
        <family val="2"/>
      </rPr>
      <t>（一部赤字事業者</t>
    </r>
    <r>
      <rPr>
        <sz val="10"/>
        <rFont val="游ゴシック"/>
        <family val="3"/>
        <charset val="128"/>
      </rPr>
      <t>3/4</t>
    </r>
    <r>
      <rPr>
        <sz val="10"/>
        <rFont val="Noto Sans CJK SC"/>
        <family val="2"/>
      </rPr>
      <t>）</t>
    </r>
  </si>
  <si>
    <t>次回公募 日程未定（第3回は2026/4/30締切済）</t>
  </si>
  <si>
    <t>創業後1年以内の小規模事業者（商業サービス業5人以下/製造業等20人以下）。商工会議所・商工会の支援を受け経営計画策定。第3回は締切済のため次回公募を要公式確認</t>
  </si>
  <si>
    <t>開業初期の販路開拓・HP制作・チラシ・展示用機材</t>
  </si>
  <si>
    <t>ペルソナA</t>
  </si>
  <si>
    <t>小規模事業者持続化補助金〈一般型・通常枠〉（次回公募・第20回想定）</t>
  </si>
  <si>
    <t>中小企業庁／日本商工会議所</t>
  </si>
  <si>
    <t>小規模事業者（製造業他20名以下、商業サービス5名以下）</t>
  </si>
  <si>
    <r>
      <rPr>
        <sz val="10"/>
        <rFont val="游ゴシック"/>
        <family val="3"/>
        <charset val="128"/>
      </rPr>
      <t>50</t>
    </r>
    <r>
      <rPr>
        <sz val="10"/>
        <rFont val="Noto Sans CJK SC"/>
        <family val="2"/>
      </rPr>
      <t>万円（通常枠）。インボイス特例</t>
    </r>
    <r>
      <rPr>
        <sz val="10"/>
        <rFont val="游ゴシック"/>
        <family val="3"/>
        <charset val="128"/>
      </rPr>
      <t>+50</t>
    </r>
    <r>
      <rPr>
        <sz val="10"/>
        <rFont val="Noto Sans CJK SC"/>
        <family val="2"/>
      </rPr>
      <t>万円・賃金引上げ枠等で増額</t>
    </r>
  </si>
  <si>
    <r>
      <rPr>
        <sz val="10"/>
        <rFont val="游ゴシック"/>
        <family val="3"/>
        <charset val="128"/>
      </rPr>
      <t>2/3</t>
    </r>
    <r>
      <rPr>
        <sz val="10"/>
        <rFont val="Noto Sans CJK SC"/>
        <family val="2"/>
      </rPr>
      <t>（賃金引上げ枠の赤字事業者</t>
    </r>
    <r>
      <rPr>
        <sz val="10"/>
        <rFont val="游ゴシック"/>
        <family val="3"/>
        <charset val="128"/>
      </rPr>
      <t>3/4</t>
    </r>
    <r>
      <rPr>
        <sz val="10"/>
        <rFont val="Noto Sans CJK SC"/>
        <family val="2"/>
      </rPr>
      <t>）</t>
    </r>
  </si>
  <si>
    <t>次回公募 第20回は今春～夏公募予定（第19回は2026/4/30締切済）</t>
  </si>
  <si>
    <t>次回公募（第20回）の公募要領で要確認</t>
  </si>
  <si>
    <t>小規模事業者が商工会議所・商工会の支援を受け経営計画を策定し販路開拓。電子申請のみ。事業支援計画書（様式4）は締切前に要取得。第19回は締切済</t>
  </si>
  <si>
    <r>
      <rPr>
        <sz val="10"/>
        <rFont val="游ゴシック"/>
        <family val="3"/>
        <charset val="128"/>
      </rPr>
      <t>HP</t>
    </r>
    <r>
      <rPr>
        <sz val="10"/>
        <rFont val="Noto Sans CJK SC"/>
        <family val="2"/>
      </rPr>
      <t>・チラシ・看板・コーティング展示用機材・販促物の制作</t>
    </r>
  </si>
  <si>
    <t>ペルソナA・B</t>
  </si>
  <si>
    <t>第20回 今春～夏公募予定（要公式確認）</t>
  </si>
  <si>
    <t>サイバーセキュリティ対策促進助成金（次回公募・東京都）</t>
  </si>
  <si>
    <t>https://www.tokyo-kosha.or.jp/support/josei/setsubijosei/cyber.html</t>
  </si>
  <si>
    <t>都内事業1年以上の中小企業者等</t>
  </si>
  <si>
    <t>次回公募 日程未定（第1回は2026/5/19締切）</t>
  </si>
  <si>
    <t>次回公募の公社公式で要確認</t>
  </si>
  <si>
    <t>東京都中小企業振興公社。中小企業のサイバーセキュリティ対策設備導入を助成。第1回は締切のため次回公募を要公式確認</t>
  </si>
  <si>
    <t>顧客情報・施工データを扱う加盟店のセキュリティ強化</t>
  </si>
  <si>
    <t>ペルソナB・C（都内）</t>
  </si>
  <si>
    <t>千葉県中小企業成長促進補助金（次回公募）</t>
  </si>
  <si>
    <t>https://www.pref.chiba.lg.jp/keisei/zaisei/chiba-seichohojyo3.html</t>
  </si>
  <si>
    <t>県内中小企業者等</t>
  </si>
  <si>
    <t>枠別（公式発表待ち）</t>
  </si>
  <si>
    <t>次回公募 日程未定（第3弾は2026/6/5締切）</t>
  </si>
  <si>
    <t>次回公募の千葉県公式で要確認</t>
  </si>
  <si>
    <t>省力化・業務効率化・生産性向上の設備投資。第2弾・第3弾は締切のため次回公募を要公式確認（自治体年度公募）</t>
  </si>
  <si>
    <t>千葉県所在加盟店（サンマリン・AQURAS等）の設備投資</t>
  </si>
  <si>
    <t>千葉県所在加盟店</t>
  </si>
  <si>
    <t>ちば創業応援助成金（次回公募）</t>
  </si>
  <si>
    <t>上限100万円</t>
  </si>
  <si>
    <t>次回公募 日程未定（前回は2026/4/30締切済）</t>
  </si>
  <si>
    <t>次回公募の千葉県産業振興センター公式で要確認</t>
  </si>
  <si>
    <t>先進的アイデア・地域課題解決型事業。前回は締切済のため次回公募を要公式確認（自治体年度公募）</t>
  </si>
  <si>
    <t>千葉県内で創業する加盟店の初期費用</t>
  </si>
  <si>
    <t>千葉県所在の創業者</t>
  </si>
  <si>
    <t>神奈川県中小企業生産性向上促進事業費補助金 一般枠/グループ化支援枠（次回公募）</t>
  </si>
  <si>
    <t>県内中小企業者（グループ可）</t>
  </si>
  <si>
    <t>一般枠 上限500万円／グループ化支援枠 上限4,000万円</t>
  </si>
  <si>
    <t>次回公募 日程未定（一般枠/グループ枠は2026/6/30締切）</t>
  </si>
  <si>
    <t>次回公募の神奈川県公式で要確認（創業者成長支援枠は別途8月締切で存続）</t>
  </si>
  <si>
    <t>【注】同補助金の『創業者成長支援枠』は別掲（8月締切で存続）。本行は一般枠/グループ化支援枠の次回公募。生産性向上の設備投資（年複数回公募）。一般枠・グループ化支援枠は2026/6/30締切のため次回公募を要公式確認（自治体年度公募）</t>
  </si>
  <si>
    <t>神奈川県所在加盟店の設備投資</t>
  </si>
  <si>
    <t>神奈川県所在加盟店</t>
  </si>
  <si>
    <r>
      <rPr>
        <b/>
        <sz val="14"/>
        <color rgb="FF1F4E78"/>
        <rFont val="游ゴシック"/>
        <family val="3"/>
        <charset val="128"/>
      </rPr>
      <t>JHCA</t>
    </r>
    <r>
      <rPr>
        <b/>
        <sz val="14"/>
        <color rgb="FF1F4E78"/>
        <rFont val="Noto Sans CJK SC"/>
        <family val="2"/>
      </rPr>
      <t>加盟店一覧と所在地別 主な活用可能制度マッピング（</t>
    </r>
    <r>
      <rPr>
        <b/>
        <sz val="14"/>
        <color rgb="FF1F4E78"/>
        <rFont val="游ゴシック"/>
        <family val="3"/>
        <charset val="128"/>
      </rPr>
      <t>v4.4</t>
    </r>
    <r>
      <rPr>
        <b/>
        <sz val="14"/>
        <color rgb="FF1F4E78"/>
        <rFont val="Noto Sans CJK SC"/>
        <family val="2"/>
      </rPr>
      <t>・全</t>
    </r>
    <r>
      <rPr>
        <b/>
        <sz val="14"/>
        <color rgb="FF1F4E78"/>
        <rFont val="游ゴシック"/>
        <family val="3"/>
        <charset val="128"/>
      </rPr>
      <t>21</t>
    </r>
    <r>
      <rPr>
        <b/>
        <sz val="14"/>
        <color rgb="FF1F4E78"/>
        <rFont val="Noto Sans CJK SC"/>
        <family val="2"/>
      </rPr>
      <t>社）</t>
    </r>
  </si>
  <si>
    <t>出典：https://j-h-c-a.com/member-list/　／　★印は所在地特化の追加制度</t>
  </si>
  <si>
    <t>会員区分</t>
  </si>
  <si>
    <t>会社名</t>
  </si>
  <si>
    <t>所在地</t>
  </si>
  <si>
    <t>TEL</t>
  </si>
  <si>
    <t>HP</t>
  </si>
  <si>
    <t>活用可能な制度カテゴリ</t>
  </si>
  <si>
    <t>正会員</t>
  </si>
  <si>
    <t>株式会社エムズクリエイト</t>
  </si>
  <si>
    <t>〒168-0082
東京都杉並区久我山1-5-2-1F</t>
  </si>
  <si>
    <t>03-5344-3377</t>
  </si>
  <si>
    <t>全国制度＋東京都制度（展示会出展助成等）＋杉並区制度（中小企業資金融資・★エコ住宅促進助成）</t>
  </si>
  <si>
    <t>株式会社M&amp;M</t>
  </si>
  <si>
    <t>〒176-0012
東京都練馬区豊玉北4-23-11</t>
  </si>
  <si>
    <t>03-5946-2411</t>
  </si>
  <si>
    <t>全国制度＋東京都制度＋練馬区制度（HP作成費・販路拡大支援・認証取得支援等）</t>
  </si>
  <si>
    <t>有限会社サンマリン</t>
  </si>
  <si>
    <t>〒276-0031
千葉県八千代市八千代台北6-2-17</t>
  </si>
  <si>
    <t>047-405-1193</t>
  </si>
  <si>
    <t>全国制度＋千葉県制度（成長促進補助金第3弾・第2弾等）＋八千代市制度</t>
  </si>
  <si>
    <t>株式会社プラウディア</t>
  </si>
  <si>
    <t>〒176-0011
東京都練馬区豊玉上2-27-2-1F</t>
  </si>
  <si>
    <t>03-5946-6912</t>
  </si>
  <si>
    <t>株式会社NKサービス</t>
  </si>
  <si>
    <t>〒170-0005
東京都豊島区南大塚2-11-10-3F</t>
  </si>
  <si>
    <t>03-6833-3392</t>
  </si>
  <si>
    <t>全国制度＋東京都制度＋豊島区制度</t>
  </si>
  <si>
    <t>株式会社AQURAS</t>
  </si>
  <si>
    <t>〒266-0021
千葉県千葉市緑区刈田子町139-1</t>
  </si>
  <si>
    <t>043-312-1420</t>
  </si>
  <si>
    <t>全国制度＋千葉県制度＋千葉市制度（ICT活用生産性向上支援等）</t>
  </si>
  <si>
    <t>株式会社ティースタイル</t>
  </si>
  <si>
    <t>〒340-0807
埼玉県八潮市新町124-1-1F</t>
  </si>
  <si>
    <t>048-999-5028</t>
  </si>
  <si>
    <t>全国制度＋埼玉県制度（CO2削減・奨学金返還支援）＋八潮市制度</t>
  </si>
  <si>
    <t>株式会社HRG</t>
  </si>
  <si>
    <t>〒143-0022
東京都台東区上野6-8-19小野田ビル3F</t>
  </si>
  <si>
    <t>090-5507-0844</t>
  </si>
  <si>
    <t>（HP記載なし）</t>
  </si>
  <si>
    <t>全国制度＋東京都制度（展示会出展・市場開拓助成）＋台東区制度（デジタル化推進等）</t>
  </si>
  <si>
    <r>
      <rPr>
        <sz val="10"/>
        <rFont val="游ゴシック"/>
        <family val="3"/>
        <charset val="128"/>
      </rPr>
      <t>INN'X</t>
    </r>
    <r>
      <rPr>
        <sz val="10"/>
        <rFont val="Noto Sans CJK SC"/>
        <family val="2"/>
      </rPr>
      <t>株式会社</t>
    </r>
  </si>
  <si>
    <t>〒133-0073
東京都江戸川区鹿骨2-40-1</t>
  </si>
  <si>
    <t>03-6240-5520</t>
  </si>
  <si>
    <t>全国制度＋東京都制度＋江戸川区制度（産業ナビ補助金等）</t>
  </si>
  <si>
    <t>株式会社エスコート</t>
  </si>
  <si>
    <t>〒811-0201
福岡県福岡市東区三苫5-3-1グローヴ三苫ビル103</t>
  </si>
  <si>
    <t>092-410-7573</t>
  </si>
  <si>
    <t>全国制度＋福岡県制度（生産性向上・賃上げ緊急支援等）＋福岡市制度</t>
  </si>
  <si>
    <t>ライフサービス北海道株式会社</t>
  </si>
  <si>
    <t>〒065-0013
北海道札幌市東区北十三条東13-3-32-102</t>
  </si>
  <si>
    <t>011-792-9012</t>
  </si>
  <si>
    <t>全国制度＋北海道制度（賃上げ環境整備・★省エネ設備導入支援・★人材確保支援R8・通年雇用助成金）＋札幌市制度</t>
  </si>
  <si>
    <t>美ら海ハウジング株式会社</t>
  </si>
  <si>
    <t>〒901-2114
沖縄県浦添市安波茶2-7-5-101</t>
  </si>
  <si>
    <t>098-875-6777</t>
  </si>
  <si>
    <t>全国制度（★沖縄若年者雇用促進コース）＋沖縄県制度（スタートアップ・★賃上げ・生産性向上緊急支援）＋浦添市制度</t>
  </si>
  <si>
    <t>株式会社ライフステージ</t>
  </si>
  <si>
    <t>〒344-0112
埼玉県春日部市西金野井434-1</t>
  </si>
  <si>
    <t>048-872-6521</t>
  </si>
  <si>
    <t>全国制度＋埼玉県制度＋春日部市制度（中小企業センター事業）</t>
  </si>
  <si>
    <t>株式会社モアインテリアデザイン</t>
  </si>
  <si>
    <t>〒103-0004
東京都中央区東日本橋2-28-4 日本橋CETビル2F</t>
  </si>
  <si>
    <t>03-6271-0159</t>
  </si>
  <si>
    <t>全国制度＋東京都制度（展示会出展・市場開拓助成）＋中央区制度（商工業融資等）</t>
  </si>
  <si>
    <t>株式会社ファイブスターズ</t>
  </si>
  <si>
    <t>〒154-0011
東京都世田谷区上馬2-25-4 フレックス三軒茶屋3階</t>
  </si>
  <si>
    <t>03-3424-5575</t>
  </si>
  <si>
    <t>全国制度＋東京都制度（展示会出展・市場開拓助成）＋★世田谷区制度（ビジネスマッチングイベント出展支援事業補助金）</t>
  </si>
  <si>
    <t>準会員</t>
  </si>
  <si>
    <t>株式会社コムラ</t>
  </si>
  <si>
    <t>〒733-0804
広島県広島市西区山手町16-7</t>
  </si>
  <si>
    <t>082-235-0654</t>
  </si>
  <si>
    <t>全国制度＋広島県制度（省エネ設備等導入支援・★中小企業成長加速化補助金）＋広島市制度</t>
  </si>
  <si>
    <t>有限会社ひなた</t>
  </si>
  <si>
    <t>〒901-2223
沖縄県宜野湾市大山2-25-1 ノキアマンション1階</t>
  </si>
  <si>
    <t>098-894-9100</t>
  </si>
  <si>
    <t>全国制度（★沖縄若年者雇用促進コース）＋沖縄県制度（★賃上げ・生産性向上緊急支援等）＋宜野湾市制度</t>
  </si>
  <si>
    <t>賛助会員</t>
  </si>
  <si>
    <t>有限会社アプソン</t>
  </si>
  <si>
    <t>〒640-0441
和歌山県海南市七山1345-2</t>
  </si>
  <si>
    <t>073-488-0210</t>
  </si>
  <si>
    <t>全国制度＋和歌山県制度（公式発表待ち）</t>
  </si>
  <si>
    <t>有限会社クロハ・エージェンシー</t>
  </si>
  <si>
    <t>〒151-0073
東京都渋谷区笹塚1-61-15-409</t>
  </si>
  <si>
    <t>03-3299-9683</t>
  </si>
  <si>
    <t>全国制度＋東京都制度（展示会出展・市場開拓助成）＋渋谷区制度（店舗開業支援・商店街活性化）</t>
  </si>
  <si>
    <t>株式会社湖南商会</t>
  </si>
  <si>
    <t>〒130-0014
東京都墨田区亀沢4-25-14</t>
  </si>
  <si>
    <t>03-3622-4649</t>
  </si>
  <si>
    <t>全国制度＋東京都制度＋墨田区制度（新ものづくり創出支援等）</t>
  </si>
  <si>
    <t>特別会員</t>
  </si>
  <si>
    <t>司法書士法人 木戸事務所</t>
  </si>
  <si>
    <t>〒192-0051
東京都八王子市元本郷町2-8-3</t>
  </si>
  <si>
    <t>042-626-2710</t>
  </si>
  <si>
    <t>全国制度＋東京都制度（展示会出展・市場開拓助成）＋八王子市制度（特定創業支援・設備投資促進事業補助金等）</t>
  </si>
  <si>
    <t>所在地別の加盟店分布サマリー</t>
  </si>
  <si>
    <t>該当加盟店</t>
  </si>
  <si>
    <t>①エムズクリエイト②M&amp;M④プラウディア⑤NKサービス⑧HRG⑨INN'X⑭モアインテリアデザイン⑮ファイブスターズ⑲クロハ・エージェンシー⑳湖南商会㉑木戸事務所</t>
  </si>
  <si>
    <t>③サンマリン⑥AQURAS</t>
  </si>
  <si>
    <t>⑦ティースタイル⑬ライフステージ</t>
  </si>
  <si>
    <t>⑫美ら海ハウジング⑰ひなた</t>
  </si>
  <si>
    <t>⑪ライフサービス北海道</t>
  </si>
  <si>
    <t>⑩エスコート</t>
  </si>
  <si>
    <t>⑯コムラ</t>
  </si>
  <si>
    <t>⑱アプソン</t>
  </si>
  <si>
    <t>【★所在地特化制度の凡例】</t>
  </si>
  <si>
    <t>★杉並区エコ住宅促進助成 → ①エムズクリエイト所在地</t>
  </si>
  <si>
    <t>★北海道省エネ設備導入支援補助金・★人材確保支援事業 → ⑪ライフサービス北海道所在地</t>
  </si>
  <si>
    <t>★沖縄若年者雇用促進コース・★沖縄県賃上げ・生産性向上緊急支援 → ⑫美ら海ハウジング・⑰ひなた所在地</t>
  </si>
  <si>
    <t>★広島県中小企業成長加速化補助金 → ⑯コムラ所在地</t>
  </si>
  <si>
    <t>★世田谷区ビジネスマッチングイベント出展支援事業補助金 → ⑮ファイブスターズ所在地</t>
  </si>
  <si>
    <t>ペルソナ別 推奨制度TOP10（推奨理由・想定受給額付き）v4.4（制度マスタ完全整合）</t>
  </si>
  <si>
    <t>ペルソナ</t>
  </si>
  <si>
    <t>順位</t>
  </si>
  <si>
    <t>推奨理由</t>
  </si>
  <si>
    <t>想定受給額</t>
  </si>
  <si>
    <t>ペルソナA：個人事業主・1人親方（年商1,000万円未満／従業員0名）</t>
  </si>
  <si>
    <t>小規模事業者持続化補助金〈一般型・通常枠〉（次回公募）</t>
  </si>
  <si>
    <t>個人事業主が販路開拓に最適。HP・チラシ・看板等幅広く対象</t>
  </si>
  <si>
    <r>
      <rPr>
        <sz val="10"/>
        <rFont val="游ゴシック"/>
        <family val="3"/>
        <charset val="128"/>
      </rPr>
      <t>50</t>
    </r>
    <r>
      <rPr>
        <sz val="10"/>
        <rFont val="Noto Sans CJK SC"/>
        <family val="2"/>
      </rPr>
      <t>～</t>
    </r>
    <r>
      <rPr>
        <sz val="10"/>
        <rFont val="游ゴシック"/>
        <family val="3"/>
        <charset val="128"/>
      </rPr>
      <t>250</t>
    </r>
    <r>
      <rPr>
        <sz val="10"/>
        <rFont val="Noto Sans CJK SC"/>
        <family val="2"/>
      </rPr>
      <t>万円</t>
    </r>
  </si>
  <si>
    <t>デジタル化・AI導入補助金（インボイス対応類型）</t>
  </si>
  <si>
    <r>
      <rPr>
        <sz val="10"/>
        <rFont val="游ゴシック"/>
        <family val="3"/>
        <charset val="128"/>
      </rPr>
      <t>PC</t>
    </r>
    <r>
      <rPr>
        <sz val="10"/>
        <rFont val="Noto Sans CJK SC"/>
        <family val="2"/>
      </rPr>
      <t>・タブレット・会計ソフトの一括申請可能</t>
    </r>
  </si>
  <si>
    <r>
      <rPr>
        <sz val="10"/>
        <rFont val="游ゴシック"/>
        <family val="3"/>
        <charset val="128"/>
      </rPr>
      <t>5</t>
    </r>
    <r>
      <rPr>
        <sz val="10"/>
        <rFont val="Noto Sans CJK SC"/>
        <family val="2"/>
      </rPr>
      <t>～</t>
    </r>
    <r>
      <rPr>
        <sz val="10"/>
        <rFont val="游ゴシック"/>
        <family val="3"/>
        <charset val="128"/>
      </rPr>
      <t>350</t>
    </r>
    <r>
      <rPr>
        <sz val="10"/>
        <rFont val="Noto Sans CJK SC"/>
        <family val="2"/>
      </rPr>
      <t>万円</t>
    </r>
  </si>
  <si>
    <t>限度7,200万円・無担保無保証可</t>
  </si>
  <si>
    <t>取引先倒産時の無担保無保証借入＋掛金全額損金算入で節税</t>
  </si>
  <si>
    <t>貸付枠最大8,000万円</t>
  </si>
  <si>
    <t>経営者自身の退職金準備、掛金全額所得控除</t>
  </si>
  <si>
    <t>節税・将来資産形成</t>
  </si>
  <si>
    <t>創業1年以内対象。次回公募は要公式確認</t>
  </si>
  <si>
    <r>
      <rPr>
        <sz val="10"/>
        <rFont val="游ゴシック"/>
        <family val="3"/>
        <charset val="128"/>
      </rPr>
      <t>200</t>
    </r>
    <r>
      <rPr>
        <sz val="10"/>
        <rFont val="Noto Sans CJK SC"/>
        <family val="2"/>
      </rPr>
      <t>万円</t>
    </r>
  </si>
  <si>
    <t>東京都展示会出展助成事業（都内のみ）</t>
  </si>
  <si>
    <t>建材・住宅展示会の出展費補助</t>
  </si>
  <si>
    <t>各自治体創業支援補助金（東京・神奈川・福岡等）</t>
  </si>
  <si>
    <t>所在地別の創業支援</t>
  </si>
  <si>
    <t>数十万～数百万円</t>
  </si>
  <si>
    <t>業務改善助成金（令和8年度・2026/9/1受付開始）</t>
  </si>
  <si>
    <t>従業員雇用後の賃上げ＋設備投資で最大600万円</t>
  </si>
  <si>
    <t>最大600万円</t>
  </si>
  <si>
    <t>SECURITY ACTION</t>
  </si>
  <si>
    <t>コストを抑えて信頼性を高めやすい</t>
  </si>
  <si>
    <t>金銭給付なし</t>
  </si>
  <si>
    <t>【ペルソナA 想定総受給額レンジ】30万～500万円／年（補助金活用）＋共済貸付枠最大8,000万円</t>
  </si>
  <si>
    <t>ペルソナB：小規模法人（年商3,000万～1億円／従業員3～10名／施工＋営業）</t>
  </si>
  <si>
    <t>ものづくり補助金（製品高付加価値化枠／次回公募）</t>
  </si>
  <si>
    <t>製品開発・設備投資の主力補助金</t>
  </si>
  <si>
    <t>上限最大4,000万円（成長分野進出類型）</t>
  </si>
  <si>
    <t>中小企業省力化投資補助金（カタログ注文型・一般型）</t>
  </si>
  <si>
    <t>省力化機器導入の主力。カタログ型は従業員数別500万～1,000万（賃上げ特例で最大1,500万）／一般型は従業員数別・大幅賃上げ特例で最大8,000万円</t>
  </si>
  <si>
    <t>カタログ:500万～1,500万円／一般:最大8,000万円</t>
  </si>
  <si>
    <t>デジタル化・AI導入補助金（複数枠併用）</t>
  </si>
  <si>
    <t>通常枠＋インボイス＋セキュリティ</t>
  </si>
  <si>
    <t>合計500万円超</t>
  </si>
  <si>
    <t>キャリアアップ助成金（正社員化・賃金規定改定）</t>
  </si>
  <si>
    <t>正社員化＋賃金引上げで人材定着</t>
  </si>
  <si>
    <r>
      <rPr>
        <sz val="10"/>
        <rFont val="游ゴシック"/>
        <family val="3"/>
        <charset val="128"/>
      </rPr>
      <t>1</t>
    </r>
    <r>
      <rPr>
        <sz val="10"/>
        <rFont val="Noto Sans CJK SC"/>
        <family val="2"/>
      </rPr>
      <t>人最大</t>
    </r>
    <r>
      <rPr>
        <sz val="10"/>
        <rFont val="游ゴシック"/>
        <family val="3"/>
        <charset val="128"/>
      </rPr>
      <t>80</t>
    </r>
    <r>
      <rPr>
        <sz val="10"/>
        <rFont val="Noto Sans CJK SC"/>
        <family val="2"/>
      </rPr>
      <t>万円</t>
    </r>
  </si>
  <si>
    <t>業務改善助成金</t>
  </si>
  <si>
    <t>賃上げ＋設備投資セット</t>
  </si>
  <si>
    <t>人材開発支援助成金（建設労働者技能実習等）</t>
  </si>
  <si>
    <t>現場技能向上の研修費補助</t>
  </si>
  <si>
    <t>年上限1,000万円超</t>
  </si>
  <si>
    <t>両立支援等助成金</t>
  </si>
  <si>
    <t>育休取得・職場復帰支援</t>
  </si>
  <si>
    <r>
      <rPr>
        <sz val="10"/>
        <rFont val="游ゴシック"/>
        <family val="3"/>
        <charset val="128"/>
      </rPr>
      <t>1</t>
    </r>
    <r>
      <rPr>
        <sz val="10"/>
        <rFont val="Noto Sans CJK SC"/>
        <family val="2"/>
      </rPr>
      <t>人当たり数十万円</t>
    </r>
  </si>
  <si>
    <t>即時償却または取得価額10%（資本3,000万円超は7%）税額控除</t>
  </si>
  <si>
    <t>投資額の7-10%節税</t>
  </si>
  <si>
    <t>経営セーフティ共済</t>
  </si>
  <si>
    <t>元請倒産・入金遅延への備え＋節税</t>
  </si>
  <si>
    <t>各都道府県中小企業生産性向上補助金</t>
  </si>
  <si>
    <t>神奈川・千葉・福岡等の県補助金</t>
  </si>
  <si>
    <t>上限500万～4,000万円</t>
  </si>
  <si>
    <t>【ペルソナB 想定総受給額レンジ】300万～3,000万円／年（補助金活用）＋共済貸付枠</t>
  </si>
  <si>
    <t>ペルソナC：中規模法人（年商1～5億円／従業員10～30名／管理部門あり）</t>
  </si>
  <si>
    <t>ものづくり補助金（次回公募・賃金特例）</t>
  </si>
  <si>
    <t>高度な開発・大規模投資</t>
  </si>
  <si>
    <t>新事業進出補助金（次回公募・統合後の枠組み要確認）</t>
  </si>
  <si>
    <t>新分野・新市場への進出（次回公募要公式確認）</t>
  </si>
  <si>
    <t>上限9,000万円</t>
  </si>
  <si>
    <t>省力化投資補助金（一般型・賃上げ特例）</t>
  </si>
  <si>
    <t>オーダーメイド省力化投資</t>
  </si>
  <si>
    <t>上限最大8,000万円（一般型・大幅賃上げ特例）</t>
  </si>
  <si>
    <t>事業所の大規模省エネ投資</t>
  </si>
  <si>
    <t>億円規模</t>
  </si>
  <si>
    <t>設備の固定資産税1/2 or 1/4軽減</t>
  </si>
  <si>
    <r>
      <rPr>
        <sz val="10"/>
        <rFont val="游ゴシック"/>
        <family val="3"/>
        <charset val="128"/>
      </rPr>
      <t>3</t>
    </r>
    <r>
      <rPr>
        <sz val="10"/>
        <rFont val="Noto Sans CJK SC"/>
        <family val="2"/>
      </rPr>
      <t>年</t>
    </r>
    <r>
      <rPr>
        <sz val="10"/>
        <rFont val="游ゴシック"/>
        <family val="3"/>
        <charset val="128"/>
      </rPr>
      <t>1/2 or 5</t>
    </r>
    <r>
      <rPr>
        <sz val="10"/>
        <rFont val="Noto Sans CJK SC"/>
        <family val="2"/>
      </rPr>
      <t>年</t>
    </r>
    <r>
      <rPr>
        <sz val="10"/>
        <rFont val="游ゴシック"/>
        <family val="3"/>
        <charset val="128"/>
      </rPr>
      <t>1/4</t>
    </r>
  </si>
  <si>
    <t>人材開発支援助成金（事業展開等リスキリング）</t>
  </si>
  <si>
    <t>設備投資加算150万円含む</t>
  </si>
  <si>
    <t>経費75%＋設備</t>
  </si>
  <si>
    <t>働き方改革推進支援助成金（業種別課題対応）</t>
  </si>
  <si>
    <t>建設業向け特別コース最大720万円</t>
  </si>
  <si>
    <t>最大720万円</t>
  </si>
  <si>
    <t>中小企業経営強化税制（B・D・E類型）</t>
  </si>
  <si>
    <r>
      <rPr>
        <sz val="10"/>
        <rFont val="游ゴシック"/>
        <family val="3"/>
        <charset val="128"/>
      </rPr>
      <t>100</t>
    </r>
    <r>
      <rPr>
        <sz val="10"/>
        <rFont val="Noto Sans CJK SC"/>
        <family val="2"/>
      </rPr>
      <t>億宣言企業向け</t>
    </r>
    <r>
      <rPr>
        <sz val="10"/>
        <rFont val="游ゴシック"/>
        <family val="3"/>
        <charset val="128"/>
      </rPr>
      <t>E</t>
    </r>
    <r>
      <rPr>
        <sz val="10"/>
        <rFont val="Noto Sans CJK SC"/>
        <family val="2"/>
      </rPr>
      <t>類型新設</t>
    </r>
  </si>
  <si>
    <t>防災・減災投資促進税制の前提資格</t>
  </si>
  <si>
    <t>【ペルソナC 想定総受給額レンジ】1,000万～2億円／年（補助金活用）＋税制控除</t>
  </si>
  <si>
    <t>ペルソナD：多店舗展開法人（年商5億円以上／従業員30～50名／本社＋支店）</t>
  </si>
  <si>
    <t>中堅・中小成長投資補助金</t>
  </si>
  <si>
    <r>
      <rPr>
        <sz val="10"/>
        <rFont val="游ゴシック"/>
        <family val="3"/>
        <charset val="128"/>
      </rPr>
      <t>20</t>
    </r>
    <r>
      <rPr>
        <sz val="10"/>
        <rFont val="Noto Sans CJK SC"/>
        <family val="2"/>
      </rPr>
      <t>億円超大規模投資・上限</t>
    </r>
    <r>
      <rPr>
        <sz val="10"/>
        <rFont val="游ゴシック"/>
        <family val="3"/>
        <charset val="128"/>
      </rPr>
      <t>50</t>
    </r>
    <r>
      <rPr>
        <sz val="10"/>
        <rFont val="Noto Sans CJK SC"/>
        <family val="2"/>
      </rPr>
      <t>億円</t>
    </r>
  </si>
  <si>
    <t>上限50億円</t>
  </si>
  <si>
    <t>広島県中小企業成長加速化補助金（コムラ向け）</t>
  </si>
  <si>
    <r>
      <rPr>
        <sz val="10"/>
        <rFont val="游ゴシック"/>
        <family val="3"/>
        <charset val="128"/>
      </rPr>
      <t>100</t>
    </r>
    <r>
      <rPr>
        <sz val="10"/>
        <rFont val="Noto Sans CJK SC"/>
        <family val="2"/>
      </rPr>
      <t>億宣言企業向け大規模成長投資</t>
    </r>
  </si>
  <si>
    <t>新事業進出・ものづくり統合補助金（次回公募・統合後）</t>
  </si>
  <si>
    <t>海外展開・大規模新事業（統合後の枠組みは公式未確定）</t>
  </si>
  <si>
    <t>公式発表待ち（次回公募要確認）</t>
  </si>
  <si>
    <t>省力化投資補助金（賃上げ特例フル）</t>
  </si>
  <si>
    <t>大規模省力化投資</t>
  </si>
  <si>
    <t>上限1億円</t>
  </si>
  <si>
    <t>地方拠点・FC支店開設の設備投資・採用</t>
  </si>
  <si>
    <t>最大800万円/回</t>
  </si>
  <si>
    <r>
      <rPr>
        <sz val="10"/>
        <rFont val="游ゴシック"/>
        <family val="3"/>
        <charset val="128"/>
      </rPr>
      <t>CCUS</t>
    </r>
    <r>
      <rPr>
        <sz val="10"/>
        <rFont val="Noto Sans CJK SC"/>
        <family val="2"/>
      </rPr>
      <t>等活用促進コース（雇用管理改善促進事業）</t>
    </r>
  </si>
  <si>
    <t>技能者評価制度連動賃上げ</t>
  </si>
  <si>
    <t>年160万円</t>
  </si>
  <si>
    <t>中小企業経営強化税制（売上高100億円宣言企業向けE類型）</t>
  </si>
  <si>
    <t>建物附属設備（1,000万円以上）対象化</t>
  </si>
  <si>
    <t>投資額10%控除</t>
  </si>
  <si>
    <t>脱炭素提案・法人顧客向け環境PR</t>
  </si>
  <si>
    <t>各都道府県大規模補助（東京都躍進的事業推進・神奈川グループ化）</t>
  </si>
  <si>
    <r>
      <rPr>
        <sz val="10"/>
        <rFont val="游ゴシック"/>
        <family val="3"/>
        <charset val="128"/>
      </rPr>
      <t>1</t>
    </r>
    <r>
      <rPr>
        <sz val="10"/>
        <rFont val="Noto Sans CJK SC"/>
        <family val="2"/>
      </rPr>
      <t>億～</t>
    </r>
    <r>
      <rPr>
        <sz val="10"/>
        <rFont val="游ゴシック"/>
        <family val="3"/>
        <charset val="128"/>
      </rPr>
      <t>4,000</t>
    </r>
    <r>
      <rPr>
        <sz val="10"/>
        <rFont val="Noto Sans CJK SC"/>
        <family val="2"/>
      </rPr>
      <t>万円</t>
    </r>
  </si>
  <si>
    <t>事業承継・M&amp;A補助金（戦略的活用）</t>
  </si>
  <si>
    <r>
      <rPr>
        <sz val="10"/>
        <rFont val="游ゴシック"/>
        <family val="3"/>
        <charset val="128"/>
      </rPr>
      <t>M&amp;A</t>
    </r>
    <r>
      <rPr>
        <sz val="10"/>
        <rFont val="Noto Sans CJK SC"/>
        <family val="2"/>
      </rPr>
      <t>前提のグループ強化</t>
    </r>
  </si>
  <si>
    <t>枠別</t>
  </si>
  <si>
    <t>【ペルソナD 想定総受給額レンジ】5,000万～数十億円／案件（大規模補助金活用）</t>
  </si>
  <si>
    <t>ペルソナE：創業3年以内のスタートアップ加盟店</t>
  </si>
  <si>
    <t>東京都 創業助成事業（最大400万円）</t>
  </si>
  <si>
    <t>都内創業の主力助成金</t>
  </si>
  <si>
    <t>上限400万円</t>
  </si>
  <si>
    <t>沖縄県 スタートアップ起業支援金</t>
  </si>
  <si>
    <t>神奈川県 中小企業生産性向上補助金 創業者成長支援枠</t>
  </si>
  <si>
    <t>創業期の設備投資</t>
  </si>
  <si>
    <t>県内創業支援</t>
  </si>
  <si>
    <t>各都道府県の創業支援金（千葉県地域課題解決型起業支援等）</t>
  </si>
  <si>
    <t>所在地の県・市の創業支援金（年度公募・要公式確認）</t>
  </si>
  <si>
    <t>数十万～200万円程度</t>
  </si>
  <si>
    <t>創業1年以内</t>
  </si>
  <si>
    <t>無担保・無保証可</t>
  </si>
  <si>
    <t>信用保証協会 創業関連保証</t>
  </si>
  <si>
    <t>無連帯保証・上乗せ0.2%</t>
  </si>
  <si>
    <t>保証付き融資</t>
  </si>
  <si>
    <t>北海道中小企業新応援ファンド 創業促進支援事業</t>
  </si>
  <si>
    <t>北海道所在の創業者に有効</t>
  </si>
  <si>
    <t>沖縄県の若年者雇用支援</t>
  </si>
  <si>
    <t>【ペルソナE 想定総受給額レンジ】100万～2,000万円／創業期＋公庫融資7,200万円</t>
  </si>
  <si>
    <t>月別申請スケジュールカレンダー（2026年5月～2027年3月）v4.4（申込終了制度は次回公募として記載）</t>
  </si>
  <si>
    <t>月</t>
  </si>
  <si>
    <t>開始日</t>
  </si>
  <si>
    <t>締切日</t>
  </si>
  <si>
    <t>準備開始推奨日（締切2か月前）</t>
  </si>
  <si>
    <t>通年（年複数回）</t>
  </si>
  <si>
    <t>デジタル化・AI導入補助金 次回締切（年複数回）</t>
  </si>
  <si>
    <r>
      <rPr>
        <sz val="10"/>
        <rFont val="游ゴシック"/>
        <family val="3"/>
        <charset val="128"/>
      </rPr>
      <t>2026/03/30</t>
    </r>
    <r>
      <rPr>
        <sz val="10"/>
        <rFont val="Noto Sans CJK SC"/>
        <family val="2"/>
      </rPr>
      <t>開始</t>
    </r>
  </si>
  <si>
    <t>年複数回（予算消化型・1次5/12は終了）</t>
  </si>
  <si>
    <t>随時準備</t>
  </si>
  <si>
    <r>
      <rPr>
        <b/>
        <sz val="10"/>
        <rFont val="游ゴシック"/>
        <family val="3"/>
        <charset val="128"/>
      </rPr>
      <t>2026</t>
    </r>
    <r>
      <rPr>
        <b/>
        <sz val="10"/>
        <rFont val="Noto Sans CJK SC"/>
        <family val="2"/>
      </rPr>
      <t>年</t>
    </r>
    <r>
      <rPr>
        <b/>
        <sz val="10"/>
        <rFont val="游ゴシック"/>
        <family val="3"/>
        <charset val="128"/>
      </rPr>
      <t>6</t>
    </r>
    <r>
      <rPr>
        <b/>
        <sz val="10"/>
        <rFont val="Noto Sans CJK SC"/>
        <family val="2"/>
      </rPr>
      <t>月</t>
    </r>
  </si>
  <si>
    <t>省力化補助金 一般型 第7回（6月上旬公募予定）</t>
  </si>
  <si>
    <r>
      <rPr>
        <sz val="10"/>
        <rFont val="游ゴシック"/>
        <family val="3"/>
        <charset val="128"/>
      </rPr>
      <t>2026/06</t>
    </r>
    <r>
      <rPr>
        <sz val="10"/>
        <rFont val="Noto Sans CJK SC"/>
        <family val="2"/>
      </rPr>
      <t>上旬予定</t>
    </r>
  </si>
  <si>
    <r>
      <rPr>
        <sz val="10"/>
        <rFont val="游ゴシック"/>
        <family val="3"/>
        <charset val="128"/>
      </rPr>
      <t>2026/07</t>
    </r>
    <r>
      <rPr>
        <sz val="10"/>
        <rFont val="Noto Sans CJK SC"/>
        <family val="2"/>
      </rPr>
      <t>下旬予定</t>
    </r>
  </si>
  <si>
    <r>
      <rPr>
        <b/>
        <sz val="10"/>
        <rFont val="游ゴシック"/>
        <family val="3"/>
        <charset val="128"/>
      </rPr>
      <t>2026</t>
    </r>
    <r>
      <rPr>
        <b/>
        <sz val="10"/>
        <rFont val="Noto Sans CJK SC"/>
        <family val="2"/>
      </rPr>
      <t>年</t>
    </r>
    <r>
      <rPr>
        <b/>
        <sz val="10"/>
        <rFont val="游ゴシック"/>
        <family val="3"/>
        <charset val="128"/>
      </rPr>
      <t>4</t>
    </r>
    <r>
      <rPr>
        <b/>
        <sz val="10"/>
        <rFont val="Noto Sans CJK SC"/>
        <family val="2"/>
      </rPr>
      <t>月</t>
    </r>
  </si>
  <si>
    <t>東京都 特別高圧電力支援金 第6回</t>
  </si>
  <si>
    <t>2026/06/30</t>
  </si>
  <si>
    <t>★東京都 展示会出展助成事業 R8</t>
  </si>
  <si>
    <t>2026/11/14</t>
  </si>
  <si>
    <t>★神奈川県 国内展示会出展支援 R8</t>
  </si>
  <si>
    <t>2026/11/30</t>
  </si>
  <si>
    <t>★北海道 省エネルギー設備導入支援</t>
  </si>
  <si>
    <t>★北海道中小企業新応援ファンド創業促進支援</t>
  </si>
  <si>
    <t>★広島市中山間地域人材確保支援事業</t>
  </si>
  <si>
    <t>2026/11/29</t>
  </si>
  <si>
    <r>
      <rPr>
        <b/>
        <sz val="10"/>
        <rFont val="游ゴシック"/>
        <family val="3"/>
        <charset val="128"/>
      </rPr>
      <t>2026</t>
    </r>
    <r>
      <rPr>
        <b/>
        <sz val="10"/>
        <rFont val="Noto Sans CJK SC"/>
        <family val="2"/>
      </rPr>
      <t>年</t>
    </r>
    <r>
      <rPr>
        <b/>
        <sz val="10"/>
        <rFont val="游ゴシック"/>
        <family val="3"/>
        <charset val="128"/>
      </rPr>
      <t>5</t>
    </r>
    <r>
      <rPr>
        <b/>
        <sz val="10"/>
        <rFont val="Noto Sans CJK SC"/>
        <family val="2"/>
      </rPr>
      <t>月</t>
    </r>
  </si>
  <si>
    <t>東京都 就職氷河期世代等安定就業サポート助成金 第1回</t>
  </si>
  <si>
    <r>
      <rPr>
        <sz val="10"/>
        <rFont val="游ゴシック"/>
        <family val="3"/>
        <charset val="128"/>
      </rPr>
      <t>2026</t>
    </r>
    <r>
      <rPr>
        <sz val="10"/>
        <rFont val="Noto Sans CJK SC"/>
        <family val="2"/>
      </rPr>
      <t>年度内</t>
    </r>
  </si>
  <si>
    <t>2026/03/01</t>
  </si>
  <si>
    <t>★東京都 市場開拓助成事業</t>
  </si>
  <si>
    <t>エイジフレンドリー補助金 R8公募開始予定</t>
  </si>
  <si>
    <r>
      <rPr>
        <sz val="10"/>
        <rFont val="游ゴシック"/>
        <family val="3"/>
        <charset val="128"/>
      </rPr>
      <t>2026/10/31</t>
    </r>
    <r>
      <rPr>
        <sz val="10"/>
        <rFont val="Noto Sans CJK SC"/>
        <family val="2"/>
      </rPr>
      <t>予定</t>
    </r>
  </si>
  <si>
    <r>
      <rPr>
        <sz val="10"/>
        <rFont val="游ゴシック"/>
        <family val="3"/>
        <charset val="128"/>
      </rPr>
      <t>2026/08/31</t>
    </r>
    <r>
      <rPr>
        <sz val="10"/>
        <rFont val="Noto Sans CJK SC"/>
        <family val="2"/>
      </rPr>
      <t>予定</t>
    </r>
  </si>
  <si>
    <t>中堅・中小成長投資補助金 公募</t>
  </si>
  <si>
    <t>東京都 働く人の育業応援事業 開始</t>
  </si>
  <si>
    <r>
      <rPr>
        <b/>
        <sz val="10"/>
        <rFont val="游ゴシック"/>
        <family val="3"/>
        <charset val="128"/>
      </rPr>
      <t>2026</t>
    </r>
    <r>
      <rPr>
        <b/>
        <sz val="10"/>
        <rFont val="Noto Sans CJK SC"/>
        <family val="2"/>
      </rPr>
      <t>年</t>
    </r>
    <r>
      <rPr>
        <b/>
        <sz val="10"/>
        <rFont val="游ゴシック"/>
        <family val="3"/>
        <charset val="128"/>
      </rPr>
      <t>8</t>
    </r>
    <r>
      <rPr>
        <b/>
        <sz val="10"/>
        <rFont val="Noto Sans CJK SC"/>
        <family val="2"/>
      </rPr>
      <t>月</t>
    </r>
  </si>
  <si>
    <t>ものづくり補助金 次回公募（第24次想定）</t>
  </si>
  <si>
    <r>
      <rPr>
        <sz val="10"/>
        <rFont val="游ゴシック"/>
        <family val="3"/>
        <charset val="128"/>
      </rPr>
      <t>2026/09</t>
    </r>
    <r>
      <rPr>
        <sz val="10"/>
        <rFont val="Noto Sans CJK SC"/>
        <family val="2"/>
      </rPr>
      <t>予定</t>
    </r>
  </si>
  <si>
    <t>省力化補助金 一般型 採択発表</t>
  </si>
  <si>
    <r>
      <rPr>
        <sz val="10"/>
        <rFont val="游ゴシック"/>
        <family val="3"/>
        <charset val="128"/>
      </rPr>
      <t>2026/08</t>
    </r>
    <r>
      <rPr>
        <sz val="10"/>
        <rFont val="Noto Sans CJK SC"/>
        <family val="2"/>
      </rPr>
      <t>下旬予定</t>
    </r>
  </si>
  <si>
    <t>新事業進出補助金 次回公募（統合後・要公式確認）</t>
  </si>
  <si>
    <r>
      <rPr>
        <b/>
        <sz val="10"/>
        <rFont val="游ゴシック"/>
        <family val="3"/>
        <charset val="128"/>
      </rPr>
      <t>2026</t>
    </r>
    <r>
      <rPr>
        <b/>
        <sz val="10"/>
        <rFont val="Noto Sans CJK SC"/>
        <family val="2"/>
      </rPr>
      <t>年</t>
    </r>
    <r>
      <rPr>
        <b/>
        <sz val="10"/>
        <rFont val="游ゴシック"/>
        <family val="3"/>
        <charset val="128"/>
      </rPr>
      <t>9</t>
    </r>
    <r>
      <rPr>
        <b/>
        <sz val="10"/>
        <rFont val="Noto Sans CJK SC"/>
        <family val="2"/>
      </rPr>
      <t>月</t>
    </r>
  </si>
  <si>
    <t>業務改善助成金 受付開始（R8）</t>
  </si>
  <si>
    <t>2026/07/01</t>
  </si>
  <si>
    <t>東京都 創業助成 第2回</t>
  </si>
  <si>
    <r>
      <rPr>
        <sz val="10"/>
        <rFont val="游ゴシック"/>
        <family val="3"/>
        <charset val="128"/>
      </rPr>
      <t>2026/09/29</t>
    </r>
    <r>
      <rPr>
        <sz val="10"/>
        <rFont val="Noto Sans CJK SC"/>
        <family val="2"/>
      </rPr>
      <t>予定</t>
    </r>
  </si>
  <si>
    <r>
      <rPr>
        <sz val="10"/>
        <rFont val="游ゴシック"/>
        <family val="3"/>
        <charset val="128"/>
      </rPr>
      <t>2026/10/08</t>
    </r>
    <r>
      <rPr>
        <sz val="10"/>
        <rFont val="Noto Sans CJK SC"/>
        <family val="2"/>
      </rPr>
      <t>予定</t>
    </r>
  </si>
  <si>
    <r>
      <rPr>
        <sz val="10"/>
        <rFont val="游ゴシック"/>
        <family val="3"/>
        <charset val="128"/>
      </rPr>
      <t>2026/08/08</t>
    </r>
    <r>
      <rPr>
        <sz val="10"/>
        <rFont val="Noto Sans CJK SC"/>
        <family val="2"/>
      </rPr>
      <t>予定</t>
    </r>
  </si>
  <si>
    <t>★川崎市 中小企業成長環境支援補助金</t>
  </si>
  <si>
    <t>2026/07/30</t>
  </si>
  <si>
    <r>
      <rPr>
        <b/>
        <sz val="10"/>
        <rFont val="游ゴシック"/>
        <family val="3"/>
        <charset val="128"/>
      </rPr>
      <t>2026</t>
    </r>
    <r>
      <rPr>
        <b/>
        <sz val="10"/>
        <rFont val="Noto Sans CJK SC"/>
        <family val="2"/>
      </rPr>
      <t>年</t>
    </r>
    <r>
      <rPr>
        <b/>
        <sz val="10"/>
        <rFont val="游ゴシック"/>
        <family val="3"/>
        <charset val="128"/>
      </rPr>
      <t>10</t>
    </r>
    <r>
      <rPr>
        <b/>
        <sz val="10"/>
        <rFont val="Noto Sans CJK SC"/>
        <family val="2"/>
      </rPr>
      <t>月</t>
    </r>
  </si>
  <si>
    <t>エイジフレンドリー補助金 最終締切想定</t>
  </si>
  <si>
    <t>持続化補助金 第20回想定</t>
  </si>
  <si>
    <r>
      <rPr>
        <sz val="10"/>
        <rFont val="游ゴシック"/>
        <family val="3"/>
        <charset val="128"/>
      </rPr>
      <t>2026/10</t>
    </r>
    <r>
      <rPr>
        <sz val="10"/>
        <rFont val="Noto Sans CJK SC"/>
        <family val="2"/>
      </rPr>
      <t>予定</t>
    </r>
  </si>
  <si>
    <r>
      <rPr>
        <sz val="10"/>
        <rFont val="游ゴシック"/>
        <family val="3"/>
        <charset val="128"/>
      </rPr>
      <t>2026/11</t>
    </r>
    <r>
      <rPr>
        <sz val="10"/>
        <rFont val="Noto Sans CJK SC"/>
        <family val="2"/>
      </rPr>
      <t>予定</t>
    </r>
  </si>
  <si>
    <r>
      <rPr>
        <b/>
        <sz val="10"/>
        <rFont val="游ゴシック"/>
        <family val="3"/>
        <charset val="128"/>
      </rPr>
      <t>2026</t>
    </r>
    <r>
      <rPr>
        <b/>
        <sz val="10"/>
        <rFont val="Noto Sans CJK SC"/>
        <family val="2"/>
      </rPr>
      <t>年</t>
    </r>
    <r>
      <rPr>
        <b/>
        <sz val="10"/>
        <rFont val="游ゴシック"/>
        <family val="3"/>
        <charset val="128"/>
      </rPr>
      <t>11</t>
    </r>
    <r>
      <rPr>
        <b/>
        <sz val="10"/>
        <rFont val="Noto Sans CJK SC"/>
        <family val="2"/>
      </rPr>
      <t>月</t>
    </r>
  </si>
  <si>
    <t>業務改善助成金 締切（地域別最賃発効前日 or 11月末）</t>
  </si>
  <si>
    <t>働き方改革推進支援助成金 勤務間インターバル</t>
  </si>
  <si>
    <t>2026/04/13</t>
  </si>
  <si>
    <r>
      <rPr>
        <b/>
        <sz val="10"/>
        <rFont val="游ゴシック"/>
        <family val="3"/>
        <charset val="128"/>
      </rPr>
      <t>2026</t>
    </r>
    <r>
      <rPr>
        <b/>
        <sz val="10"/>
        <rFont val="Noto Sans CJK SC"/>
        <family val="2"/>
      </rPr>
      <t>年</t>
    </r>
    <r>
      <rPr>
        <b/>
        <sz val="10"/>
        <rFont val="游ゴシック"/>
        <family val="3"/>
        <charset val="128"/>
      </rPr>
      <t>12</t>
    </r>
    <r>
      <rPr>
        <b/>
        <sz val="10"/>
        <rFont val="Noto Sans CJK SC"/>
        <family val="2"/>
      </rPr>
      <t>月</t>
    </r>
  </si>
  <si>
    <t>デジタル化・AI導入補助金 事業実施期限</t>
  </si>
  <si>
    <t>2026/12/25</t>
  </si>
  <si>
    <t>事業承継・M&amp;A補助金 第15次想定</t>
  </si>
  <si>
    <r>
      <rPr>
        <sz val="10"/>
        <rFont val="游ゴシック"/>
        <family val="3"/>
        <charset val="128"/>
      </rPr>
      <t>2026/12</t>
    </r>
    <r>
      <rPr>
        <sz val="10"/>
        <rFont val="Noto Sans CJK SC"/>
        <family val="2"/>
      </rPr>
      <t>予定</t>
    </r>
  </si>
  <si>
    <r>
      <rPr>
        <sz val="10"/>
        <rFont val="游ゴシック"/>
        <family val="3"/>
        <charset val="128"/>
      </rPr>
      <t>2027/01</t>
    </r>
    <r>
      <rPr>
        <sz val="10"/>
        <rFont val="Noto Sans CJK SC"/>
        <family val="2"/>
      </rPr>
      <t>予定</t>
    </r>
  </si>
  <si>
    <t>住宅省エネ2026キャンペーン全般 締切</t>
  </si>
  <si>
    <r>
      <rPr>
        <sz val="10"/>
        <rFont val="游ゴシック"/>
        <family val="3"/>
        <charset val="128"/>
      </rPr>
      <t xml:space="preserve">2026/12/31 or </t>
    </r>
    <r>
      <rPr>
        <sz val="10"/>
        <rFont val="Noto Sans CJK SC"/>
        <family val="2"/>
      </rPr>
      <t>予算到達時</t>
    </r>
  </si>
  <si>
    <r>
      <rPr>
        <b/>
        <sz val="10"/>
        <rFont val="游ゴシック"/>
        <family val="3"/>
        <charset val="128"/>
      </rPr>
      <t>2027</t>
    </r>
    <r>
      <rPr>
        <b/>
        <sz val="10"/>
        <rFont val="Noto Sans CJK SC"/>
        <family val="2"/>
      </rPr>
      <t>年</t>
    </r>
    <r>
      <rPr>
        <b/>
        <sz val="10"/>
        <rFont val="游ゴシック"/>
        <family val="3"/>
        <charset val="128"/>
      </rPr>
      <t>1</t>
    </r>
    <r>
      <rPr>
        <b/>
        <sz val="10"/>
        <rFont val="Noto Sans CJK SC"/>
        <family val="2"/>
      </rPr>
      <t>月</t>
    </r>
  </si>
  <si>
    <t>持続化補助金 完了期限</t>
  </si>
  <si>
    <t>業務改善助成金 事業完了期限</t>
  </si>
  <si>
    <t>★東京都 展示会出展助成事業 締切</t>
  </si>
  <si>
    <t>★広島市中山間地域人材確保支援 締切</t>
  </si>
  <si>
    <t>★神奈川県 国内展示会出展支援 締切</t>
  </si>
  <si>
    <r>
      <rPr>
        <b/>
        <sz val="10"/>
        <rFont val="游ゴシック"/>
        <family val="3"/>
        <charset val="128"/>
      </rPr>
      <t>2027</t>
    </r>
    <r>
      <rPr>
        <b/>
        <sz val="10"/>
        <rFont val="Noto Sans CJK SC"/>
        <family val="2"/>
      </rPr>
      <t>年</t>
    </r>
    <r>
      <rPr>
        <b/>
        <sz val="10"/>
        <rFont val="游ゴシック"/>
        <family val="3"/>
        <charset val="128"/>
      </rPr>
      <t>2</t>
    </r>
    <r>
      <rPr>
        <b/>
        <sz val="10"/>
        <rFont val="Noto Sans CJK SC"/>
        <family val="2"/>
      </rPr>
      <t>月</t>
    </r>
  </si>
  <si>
    <t>ものづくり補助金 第25次想定</t>
  </si>
  <si>
    <r>
      <rPr>
        <sz val="10"/>
        <rFont val="游ゴシック"/>
        <family val="3"/>
        <charset val="128"/>
      </rPr>
      <t>2027/02</t>
    </r>
    <r>
      <rPr>
        <sz val="10"/>
        <rFont val="Noto Sans CJK SC"/>
        <family val="2"/>
      </rPr>
      <t>予定</t>
    </r>
  </si>
  <si>
    <r>
      <rPr>
        <b/>
        <sz val="10"/>
        <rFont val="游ゴシック"/>
        <family val="3"/>
        <charset val="128"/>
      </rPr>
      <t>2027</t>
    </r>
    <r>
      <rPr>
        <b/>
        <sz val="10"/>
        <rFont val="Noto Sans CJK SC"/>
        <family val="2"/>
      </rPr>
      <t>年</t>
    </r>
    <r>
      <rPr>
        <b/>
        <sz val="10"/>
        <rFont val="游ゴシック"/>
        <family val="3"/>
        <charset val="128"/>
      </rPr>
      <t>3</t>
    </r>
    <r>
      <rPr>
        <b/>
        <sz val="10"/>
        <rFont val="Noto Sans CJK SC"/>
        <family val="2"/>
      </rPr>
      <t>月</t>
    </r>
  </si>
  <si>
    <t>中小企業経営強化税制 適用期限</t>
  </si>
  <si>
    <t>中小企業投資促進税制 適用期限</t>
  </si>
  <si>
    <t>賃上げ促進税制（中堅・中小） 適用期限</t>
  </si>
  <si>
    <t>固定資産税の特例（先端設備等導入計画） 適用期限</t>
  </si>
  <si>
    <t>■ 次回公募（日程未確定。公式発表後に随時更新）</t>
  </si>
  <si>
    <t>次回公募（時期未定）</t>
  </si>
  <si>
    <t>日程未定</t>
  </si>
  <si>
    <t>公式要確認</t>
  </si>
  <si>
    <t>公募発表後すぐ</t>
  </si>
  <si>
    <t>事業承継・M&amp;A補助金 次回公募（第15次想定）</t>
  </si>
  <si>
    <t>次回公募（今春～夏）</t>
  </si>
  <si>
    <t>持続化補助金 一般型 第20回（想定）</t>
  </si>
  <si>
    <t>今春～夏予定</t>
  </si>
  <si>
    <t>持続化補助金 創業型 次回公募</t>
  </si>
  <si>
    <t>東京都 サイバーセキュリティ対策促進助成金 次回公募</t>
  </si>
  <si>
    <t>※申込期間が2026/6/30以前で終了した制度（ものづくり第23次・持続化第19回/創業型第3回・新事業進出第4回・千葉県/神奈川県/ちば創業・東京都サイバーセキュリティ第1回）は制度マスタ削除に伴いカレンダーからも除外しました。次回公募は公式情報で要確認。</t>
  </si>
  <si>
    <t>要注意区分マッピング（最重要リスク／早期締切／事前準備必須／併給制限／公募開始前）v4.4</t>
  </si>
  <si>
    <t>見落としなく制度活用するためのチェックリスト（5区分・計30件・申込終了制度は除外済）</t>
  </si>
  <si>
    <t>■ ★最重要リスク（v2.0で新設）</t>
  </si>
  <si>
    <t>制度名 / 準備項目</t>
  </si>
  <si>
    <t>期日 / 制限内容</t>
  </si>
  <si>
    <t>詳細</t>
  </si>
  <si>
    <t>各自治体の「奨励金」制度全般</t>
  </si>
  <si>
    <t>検索キーワード見落とし</t>
  </si>
  <si>
    <t>「補助金」「助成金」のみで検索すると、「奨励金」名称の有益な支援制度（人材確保・エコ設備等）が漏れる。必ず「奨励金」も検索対象に含めること</t>
  </si>
  <si>
    <t>制度名の年度違いによる旧情報参照</t>
  </si>
  <si>
    <t>情報鮮度</t>
  </si>
  <si>
    <t>「○○補助金 令和7年度」で検索すると古い情報が出る可能性。必ず「令和8年度」「2026年度」「R8」のいずれかで再確認</t>
  </si>
  <si>
    <t>加盟店所在地特化制度の見落とし</t>
  </si>
  <si>
    <t>地域マッチング</t>
  </si>
  <si>
    <t>本Excel ②加盟店マッピングの★印を必ず参照。所在地特化の地域制度を見落とすと最大数百万円の機会損失</t>
  </si>
  <si>
    <t>住宅省エネ2026キャンペーンの予算到達リスク</t>
  </si>
  <si>
    <t>予算消化</t>
  </si>
  <si>
    <t>公式締切は2026/12/31だが、予算上限到達で前倒し終了の可能性大。第1期予算消化率を週次で監視必須</t>
  </si>
  <si>
    <t>沖縄県・北海道・広島県の県独自制度の更新タイミング</t>
  </si>
  <si>
    <t>発表時期</t>
  </si>
  <si>
    <t>県独自制度は4-6月に新年度予算が確定するケースが多い。所在地該当加盟店は5月再確認推奨</t>
  </si>
  <si>
    <t>■ 早期締切（2026年7月以降に申込可能な直近回）</t>
  </si>
  <si>
    <t>東京都 創業助成事業 第2回</t>
  </si>
  <si>
    <r>
      <rPr>
        <sz val="10"/>
        <rFont val="游ゴシック"/>
        <family val="3"/>
        <charset val="128"/>
      </rPr>
      <t>2026/09/29</t>
    </r>
    <r>
      <rPr>
        <sz val="10"/>
        <rFont val="Noto Sans CJK SC"/>
        <family val="2"/>
      </rPr>
      <t>～</t>
    </r>
    <r>
      <rPr>
        <sz val="10"/>
        <rFont val="游ゴシック"/>
        <family val="3"/>
        <charset val="128"/>
      </rPr>
      <t>10/08</t>
    </r>
  </si>
  <si>
    <t>上限400万円・助成率2/3。第1回は締切済、第2回が直近の申込機会</t>
  </si>
  <si>
    <t>省力化投資補助金 一般型 第7回</t>
  </si>
  <si>
    <r>
      <rPr>
        <sz val="10"/>
        <rFont val="游ゴシック"/>
        <family val="3"/>
        <charset val="128"/>
      </rPr>
      <t>2026/06</t>
    </r>
    <r>
      <rPr>
        <sz val="10"/>
        <rFont val="Noto Sans CJK SC"/>
        <family val="2"/>
      </rPr>
      <t>上旬 公募予定</t>
    </r>
  </si>
  <si>
    <t>第6回は2026/5/15締切済。第7回が直近。最大1億円（一般型）</t>
  </si>
  <si>
    <t>デジタル化・AI導入補助金 次回締切</t>
  </si>
  <si>
    <t>年複数回（予算消化型）</t>
  </si>
  <si>
    <r>
      <rPr>
        <sz val="10"/>
        <rFont val="游ゴシック"/>
        <family val="3"/>
        <charset val="128"/>
      </rPr>
      <t>1</t>
    </r>
    <r>
      <rPr>
        <sz val="10"/>
        <rFont val="Noto Sans CJK SC"/>
        <family val="2"/>
      </rPr>
      <t>次は終了。</t>
    </r>
    <r>
      <rPr>
        <sz val="10"/>
        <rFont val="游ゴシック"/>
        <family val="3"/>
        <charset val="128"/>
      </rPr>
      <t>2</t>
    </r>
    <r>
      <rPr>
        <sz val="10"/>
        <rFont val="Noto Sans CJK SC"/>
        <family val="2"/>
      </rPr>
      <t>次以降が継続。</t>
    </r>
    <r>
      <rPr>
        <sz val="10"/>
        <rFont val="游ゴシック"/>
        <family val="3"/>
        <charset val="128"/>
      </rPr>
      <t>G</t>
    </r>
    <r>
      <rPr>
        <sz val="10"/>
        <rFont val="Noto Sans CJK SC"/>
        <family val="2"/>
      </rPr>
      <t>ビズ</t>
    </r>
    <r>
      <rPr>
        <sz val="10"/>
        <rFont val="游ゴシック"/>
        <family val="3"/>
        <charset val="128"/>
      </rPr>
      <t>ID</t>
    </r>
    <r>
      <rPr>
        <sz val="10"/>
        <rFont val="Noto Sans CJK SC"/>
        <family val="2"/>
      </rPr>
      <t>必須・</t>
    </r>
    <r>
      <rPr>
        <sz val="10"/>
        <rFont val="游ゴシック"/>
        <family val="3"/>
        <charset val="128"/>
      </rPr>
      <t>SECURITY ACTION</t>
    </r>
    <r>
      <rPr>
        <sz val="10"/>
        <rFont val="Noto Sans CJK SC"/>
        <family val="2"/>
      </rPr>
      <t>必須</t>
    </r>
  </si>
  <si>
    <t>■ 事前準備必須</t>
  </si>
  <si>
    <r>
      <rPr>
        <sz val="10"/>
        <rFont val="游ゴシック"/>
        <family val="3"/>
        <charset val="128"/>
      </rPr>
      <t>G</t>
    </r>
    <r>
      <rPr>
        <sz val="10"/>
        <rFont val="Noto Sans CJK SC"/>
        <family val="2"/>
      </rPr>
      <t>ビズ</t>
    </r>
    <r>
      <rPr>
        <sz val="10"/>
        <rFont val="游ゴシック"/>
        <family val="3"/>
        <charset val="128"/>
      </rPr>
      <t>ID</t>
    </r>
    <r>
      <rPr>
        <sz val="10"/>
        <rFont val="Noto Sans CJK SC"/>
        <family val="2"/>
      </rPr>
      <t>プライムアカウント</t>
    </r>
  </si>
  <si>
    <t>取得2-3週間</t>
  </si>
  <si>
    <t>すべての国補助金で必須。本日中に申請着手推奨</t>
  </si>
  <si>
    <t>経営力向上計画認定</t>
  </si>
  <si>
    <t>認定1-2か月</t>
  </si>
  <si>
    <t>中小企業経営強化税制の前提。設備取得前認定必須</t>
  </si>
  <si>
    <t>先端設備等導入計画認定</t>
  </si>
  <si>
    <t>固定資産税1/2 or 1/4軽減の前提</t>
  </si>
  <si>
    <t>キャリアアップ計画書</t>
  </si>
  <si>
    <t>届出のみ</t>
  </si>
  <si>
    <r>
      <rPr>
        <sz val="10"/>
        <rFont val="游ゴシック"/>
        <family val="3"/>
        <charset val="128"/>
      </rPr>
      <t>R8.4</t>
    </r>
    <r>
      <rPr>
        <sz val="10"/>
        <rFont val="Noto Sans CJK SC"/>
        <family val="2"/>
      </rPr>
      <t>から事前認定不要。転換予定日前日まで</t>
    </r>
  </si>
  <si>
    <t>住宅省エネ支援事業者登録（GXアカウント）</t>
  </si>
  <si>
    <t>登録1-2週間</t>
  </si>
  <si>
    <t>住宅省エネ2026キャンペーン4事業の前提</t>
  </si>
  <si>
    <t>商工会議所への様式4発行依頼</t>
  </si>
  <si>
    <r>
      <rPr>
        <sz val="10"/>
        <rFont val="游ゴシック"/>
        <family val="3"/>
        <charset val="128"/>
      </rPr>
      <t>1-2</t>
    </r>
    <r>
      <rPr>
        <sz val="10"/>
        <rFont val="Noto Sans CJK SC"/>
        <family val="2"/>
      </rPr>
      <t>週間</t>
    </r>
  </si>
  <si>
    <t>持続化補助金で必須。締切1か月前に商工会議所へ相談推奨</t>
  </si>
  <si>
    <t>健康経営優良法人申請</t>
  </si>
  <si>
    <t>年1回</t>
  </si>
  <si>
    <t>採用広報・自治体加点・労務整備のPR効果</t>
  </si>
  <si>
    <t>■ 併給制限（同一経費への重複助成不可）</t>
  </si>
  <si>
    <t>省力化補助金 ⇔ デジタル化・AI導入補助金</t>
  </si>
  <si>
    <t>同一設備不可</t>
  </si>
  <si>
    <t>両方申請しても同じ機器は対象外</t>
  </si>
  <si>
    <t>業務改善助成金 ⇔ デジタル化・AI導入補助金</t>
  </si>
  <si>
    <t>賃上げ＋設備の組合せに注意</t>
  </si>
  <si>
    <t>ものづくり補助金 ⇔ 省力化補助金</t>
  </si>
  <si>
    <t>事業中の交付決定中は別補助金不可</t>
  </si>
  <si>
    <t>順次申請推奨</t>
  </si>
  <si>
    <t>住宅省エネ2026キャンペーン4事業</t>
  </si>
  <si>
    <t>同一工事の重複申請不可</t>
  </si>
  <si>
    <t>部位・設備で切り分ければ併用可</t>
  </si>
  <si>
    <t>キャリアアップ助成金 ⇔ 人材開発支援助成金</t>
  </si>
  <si>
    <t>同一対象者の措置で要件確認</t>
  </si>
  <si>
    <t>事前要件確認推奨</t>
  </si>
  <si>
    <t>国の助成金 ⇔ 東京都の同種奨励金</t>
  </si>
  <si>
    <t>原則併給不可</t>
  </si>
  <si>
    <t>対象内容の照合必須</t>
  </si>
  <si>
    <t>国の補助金 ⇔ 都道府県の補助金（同一経費）</t>
  </si>
  <si>
    <t>重複不可</t>
  </si>
  <si>
    <t>採択率・補助額が高い方を選択</t>
  </si>
  <si>
    <t>■ 公募開始前（2026年4月時点で受付前または公募要領未公開）</t>
  </si>
  <si>
    <t>業務改善助成金 令和8年度版</t>
  </si>
  <si>
    <r>
      <rPr>
        <sz val="10"/>
        <rFont val="游ゴシック"/>
        <family val="3"/>
        <charset val="128"/>
      </rPr>
      <t>2026/09/01</t>
    </r>
    <r>
      <rPr>
        <sz val="10"/>
        <rFont val="Noto Sans CJK SC"/>
        <family val="2"/>
      </rPr>
      <t>開始予定</t>
    </r>
  </si>
  <si>
    <r>
      <rPr>
        <sz val="10"/>
        <rFont val="游ゴシック"/>
        <family val="3"/>
        <charset val="128"/>
      </rPr>
      <t>3</t>
    </r>
    <r>
      <rPr>
        <sz val="10"/>
        <rFont val="Noto Sans CJK SC"/>
        <family val="2"/>
      </rPr>
      <t>コース新設。事業場内最低賃金引上げ＋設備投資</t>
    </r>
  </si>
  <si>
    <t>エイジフレンドリー補助金 令和8年度</t>
  </si>
  <si>
    <r>
      <rPr>
        <sz val="10"/>
        <rFont val="游ゴシック"/>
        <family val="3"/>
        <charset val="128"/>
      </rPr>
      <t>2026/05</t>
    </r>
    <r>
      <rPr>
        <sz val="10"/>
        <rFont val="Noto Sans CJK SC"/>
        <family val="2"/>
      </rPr>
      <t>公募開始予定</t>
    </r>
  </si>
  <si>
    <t>予算9.5億円に増額</t>
  </si>
  <si>
    <t>受動喫煙防止対策助成金 令和8年度</t>
  </si>
  <si>
    <r>
      <rPr>
        <sz val="10"/>
        <rFont val="游ゴシック"/>
        <family val="3"/>
        <charset val="128"/>
      </rPr>
      <t>R7</t>
    </r>
    <r>
      <rPr>
        <sz val="10"/>
        <rFont val="Noto Sans CJK SC"/>
        <family val="2"/>
      </rPr>
      <t>は</t>
    </r>
    <r>
      <rPr>
        <sz val="10"/>
        <rFont val="游ゴシック"/>
        <family val="3"/>
        <charset val="128"/>
      </rPr>
      <t>2026/01/31</t>
    </r>
    <r>
      <rPr>
        <sz val="10"/>
        <rFont val="Noto Sans CJK SC"/>
        <family val="2"/>
      </rPr>
      <t>で終了済</t>
    </r>
  </si>
  <si>
    <t>北海道 中小・小規模事業者賃上げ環境整備支援補助金</t>
  </si>
  <si>
    <r>
      <rPr>
        <sz val="10"/>
        <rFont val="游ゴシック"/>
        <family val="3"/>
        <charset val="128"/>
      </rPr>
      <t>200</t>
    </r>
    <r>
      <rPr>
        <sz val="10"/>
        <rFont val="Noto Sans CJK SC"/>
        <family val="2"/>
      </rPr>
      <t xml:space="preserve">万 </t>
    </r>
    <r>
      <rPr>
        <sz val="10"/>
        <rFont val="游ゴシック"/>
        <family val="3"/>
        <charset val="128"/>
      </rPr>
      <t>or 300</t>
    </r>
    <r>
      <rPr>
        <sz val="10"/>
        <rFont val="Noto Sans CJK SC"/>
        <family val="2"/>
      </rPr>
      <t>万円・補助率</t>
    </r>
    <r>
      <rPr>
        <sz val="10"/>
        <rFont val="游ゴシック"/>
        <family val="3"/>
        <charset val="128"/>
      </rPr>
      <t>1/2 or 3/4</t>
    </r>
  </si>
  <si>
    <t>東京都 働く人の育業応援事業</t>
  </si>
  <si>
    <r>
      <rPr>
        <sz val="10"/>
        <rFont val="游ゴシック"/>
        <family val="3"/>
        <charset val="128"/>
      </rPr>
      <t>2026/06</t>
    </r>
    <r>
      <rPr>
        <sz val="10"/>
        <rFont val="Noto Sans CJK SC"/>
        <family val="2"/>
      </rPr>
      <t>中に詳細案内予定</t>
    </r>
  </si>
  <si>
    <t>前年は最大420万円</t>
  </si>
  <si>
    <t>住宅省エネ2026キャンペーン 4事業</t>
  </si>
  <si>
    <t>受付開始日未公表</t>
  </si>
  <si>
    <t>広島県 中小企業成長加速化補助金 2次公募</t>
  </si>
  <si>
    <r>
      <rPr>
        <sz val="10"/>
        <rFont val="游ゴシック"/>
        <family val="3"/>
        <charset val="128"/>
      </rPr>
      <t>100</t>
    </r>
    <r>
      <rPr>
        <sz val="10"/>
        <rFont val="Noto Sans CJK SC"/>
        <family val="2"/>
      </rPr>
      <t>億宣言企業向け</t>
    </r>
  </si>
  <si>
    <t>協会全体で周知すべき優先TOP10制度（選定根拠付き）v4.4（制度マスタ完全整合）</t>
  </si>
  <si>
    <r>
      <rPr>
        <i/>
        <sz val="10"/>
        <color rgb="FF595959"/>
        <rFont val="游ゴシック"/>
        <family val="3"/>
        <charset val="128"/>
      </rPr>
      <t>JHCA</t>
    </r>
    <r>
      <rPr>
        <i/>
        <sz val="10"/>
        <color rgb="FF595959"/>
        <rFont val="Noto Sans CJK SC"/>
        <family val="2"/>
      </rPr>
      <t>加盟店の業務特性（内装仕上げ・床コーティング・抗菌施工・小規模～中規模主体）と</t>
    </r>
    <r>
      <rPr>
        <i/>
        <sz val="10"/>
        <color rgb="FF595959"/>
        <rFont val="游ゴシック"/>
        <family val="3"/>
        <charset val="128"/>
      </rPr>
      <t>2026</t>
    </r>
    <r>
      <rPr>
        <i/>
        <sz val="10"/>
        <color rgb="FF595959"/>
        <rFont val="Noto Sans CJK SC"/>
        <family val="2"/>
      </rPr>
      <t>年度予算重点（賃上げ・省力化・リスキリング）を勘案</t>
    </r>
  </si>
  <si>
    <t>選定根拠</t>
  </si>
  <si>
    <t>推奨周知タイミング</t>
  </si>
  <si>
    <t>小規模事業者持続化補助金（一般型・通常枠／創業型）</t>
  </si>
  <si>
    <t>個人事業主～小規模法人が販路開拓・HP・チラシ・コーティング展示用機材・看板等に幅広く使える。上限50万円～250万円（一般型）・200万円（創業型）。最も汎用性が高く協会加盟店の8割が活用可能</t>
  </si>
  <si>
    <t>公募開始時（年数回・各回締切1.5か月前に一斉周知）</t>
  </si>
  <si>
    <t>デジタル化・AI導入補助金2026（旧IT導入補助金）</t>
  </si>
  <si>
    <t>顧客管理・見積・施工管理・電子インボイス対応など全社必須。年6-7回公募で申請機会多数。インボイス対応類型はPC・タブレットも一括申請可。複数枠併用で500万円超獲得可能</t>
  </si>
  <si>
    <t>即時（協会推奨IT導入支援ベンダー紹介窓口も併せて）</t>
  </si>
  <si>
    <t>床面研磨機・自動洗浄機等の省力化投資。カタログ注文型は従業員数別上限（5人以下500万～21人以上1,000万、賃上げ特例で増額）、一般型は従業員数別・大幅賃上げ特例で最大8,000万円。収益納付撤廃</t>
  </si>
  <si>
    <t>即時（対象製品カタログのメジャーアップデート時）</t>
  </si>
  <si>
    <t>ものづくり補助金（次回公募・統合後の枠組み要確認）</t>
  </si>
  <si>
    <t>新製品・新工法開発、UV硬化型/SIAA認証製品の高付加価値化に有効。最大4,000万円（成長分野進出類型）。第23次は2026/5/8締切済のため次回公募を要確認</t>
  </si>
  <si>
    <t>次回公募の公式発表後、速やかに周知</t>
  </si>
  <si>
    <t>キャリアアップ助成金（正社員化・賃金規定改定・賞与退職金制度導入）</t>
  </si>
  <si>
    <t>施工スタッフ正社員化で1人最大80万円、勤務地限定転換で40万円加算。重点支援対象者の上乗せあり。慢性的な人材確保課題への決定的解決策</t>
  </si>
  <si>
    <t>通年（年度初め4月の制度要件変更時）</t>
  </si>
  <si>
    <t>業務改善助成金（令和8年度 50円・70円・90円コース）</t>
  </si>
  <si>
    <t>賃上げ＋設備投資セット。最大600万円。事業場内最低賃金が地域別最低賃金未満の事業場まで対象拡充。受付2026/9/1～。最低賃金大幅アップ局面で協会全体に必要</t>
  </si>
  <si>
    <r>
      <rPr>
        <sz val="10"/>
        <rFont val="游ゴシック"/>
        <family val="3"/>
        <charset val="128"/>
      </rPr>
      <t>2026/07-08</t>
    </r>
    <r>
      <rPr>
        <sz val="10"/>
        <rFont val="Noto Sans CJK SC"/>
        <family val="2"/>
      </rPr>
      <t>（受付開始</t>
    </r>
    <r>
      <rPr>
        <sz val="10"/>
        <rFont val="游ゴシック"/>
        <family val="3"/>
        <charset val="128"/>
      </rPr>
      <t>2</t>
    </r>
    <r>
      <rPr>
        <sz val="10"/>
        <rFont val="Noto Sans CJK SC"/>
        <family val="2"/>
      </rPr>
      <t>か月前）</t>
    </r>
  </si>
  <si>
    <t>人材開発支援助成金（人材育成支援・事業展開等リスキリング・建設労働者技能実習コース）</t>
  </si>
  <si>
    <t>床コーティング技術研修、抗菌施工資格取得、足場特別教育などに直結。建設関連コースの加算が手厚い。R8新設の設備投資加算（150万円）も活用可</t>
  </si>
  <si>
    <t>通年（年度初め4月の制度改定時）</t>
  </si>
  <si>
    <t>建設事業主等助成金／人材確保等支援助成金CCUS等活用促進</t>
  </si>
  <si>
    <t>建設業（とび・土工・塗装・防水）に該当する加盟店は最優先。技能実習経費助成、CCUS連動賃上げ16万円×最大10人。建設業許可保有加盟店の必須制度</t>
  </si>
  <si>
    <t>通年（元請からの導入要請が強まるタイミングで随時）</t>
  </si>
  <si>
    <t>中小企業経営強化税制／投資促進税制／固定資産税の特例</t>
  </si>
  <si>
    <t>コーティング機器・大型乾燥機等の即時償却または7%/10%税額控除。固定資産税1/2 or 1/4軽減も併用可。適用期限2027年3月31日。設備投資のキャッシュフロー大幅改善</t>
  </si>
  <si>
    <t>決算3か月前または投資判断前</t>
  </si>
  <si>
    <t>住宅省エネ2026キャンペーン（みらいエコ住宅・先進的窓リノベ・給湯省エネ）</t>
  </si>
  <si>
    <r>
      <rPr>
        <sz val="10"/>
        <rFont val="游ゴシック"/>
        <family val="3"/>
        <charset val="128"/>
      </rPr>
      <t>BtoC</t>
    </r>
    <r>
      <rPr>
        <sz val="10"/>
        <rFont val="Noto Sans CJK SC"/>
        <family val="2"/>
      </rPr>
      <t>施工事業者は登録「住宅省エネ支援事業者」になることで顧客獲得の決定的差別化。施主への提案価値が直結。フロアコート＋断熱・窓リフォームのセット提案で売上拡大</t>
    </r>
  </si>
  <si>
    <t>受付開始前（事業者登録は即時推奨。予算消化率を毎月アナウンス）</t>
  </si>
  <si>
    <t>■ 加盟店として今すぐ着手すべき5つのアクション</t>
  </si>
  <si>
    <r>
      <rPr>
        <sz val="10"/>
        <rFont val="游ゴシック"/>
        <family val="3"/>
        <charset val="128"/>
      </rPr>
      <t>1. G</t>
    </r>
    <r>
      <rPr>
        <sz val="10"/>
        <rFont val="Noto Sans CJK SC"/>
        <family val="2"/>
      </rPr>
      <t>ビズ</t>
    </r>
    <r>
      <rPr>
        <sz val="10"/>
        <rFont val="游ゴシック"/>
        <family val="3"/>
        <charset val="128"/>
      </rPr>
      <t>ID</t>
    </r>
    <r>
      <rPr>
        <sz val="10"/>
        <rFont val="Noto Sans CJK SC"/>
        <family val="2"/>
      </rPr>
      <t>プライムを未取得の加盟店は本日中に申請着手（取得に</t>
    </r>
    <r>
      <rPr>
        <sz val="10"/>
        <rFont val="游ゴシック"/>
        <family val="3"/>
        <charset val="128"/>
      </rPr>
      <t>2-3</t>
    </r>
    <r>
      <rPr>
        <sz val="10"/>
        <rFont val="Noto Sans CJK SC"/>
        <family val="2"/>
      </rPr>
      <t>週間）</t>
    </r>
  </si>
  <si>
    <r>
      <rPr>
        <sz val="10"/>
        <rFont val="游ゴシック"/>
        <family val="3"/>
        <charset val="128"/>
      </rPr>
      <t xml:space="preserve">2. </t>
    </r>
    <r>
      <rPr>
        <sz val="10"/>
        <rFont val="Noto Sans CJK SC"/>
        <family val="2"/>
      </rPr>
      <t>【次回公募準備】持続化補助金 第</t>
    </r>
    <r>
      <rPr>
        <sz val="10"/>
        <rFont val="游ゴシック"/>
        <family val="3"/>
        <charset val="128"/>
      </rPr>
      <t>20</t>
    </r>
    <r>
      <rPr>
        <sz val="10"/>
        <rFont val="Noto Sans CJK SC"/>
        <family val="2"/>
      </rPr>
      <t>回（今春～夏想定）／東京都創業助成 第</t>
    </r>
    <r>
      <rPr>
        <sz val="10"/>
        <rFont val="游ゴシック"/>
        <family val="3"/>
        <charset val="128"/>
      </rPr>
      <t>2</t>
    </r>
    <r>
      <rPr>
        <sz val="10"/>
        <rFont val="Noto Sans CJK SC"/>
        <family val="2"/>
      </rPr>
      <t>回（</t>
    </r>
    <r>
      <rPr>
        <sz val="10"/>
        <rFont val="游ゴシック"/>
        <family val="3"/>
        <charset val="128"/>
      </rPr>
      <t>2026/9/29</t>
    </r>
    <r>
      <rPr>
        <sz val="10"/>
        <rFont val="Noto Sans CJK SC"/>
        <family val="2"/>
      </rPr>
      <t>～</t>
    </r>
    <r>
      <rPr>
        <sz val="10"/>
        <rFont val="游ゴシック"/>
        <family val="3"/>
        <charset val="128"/>
      </rPr>
      <t>10/8</t>
    </r>
    <r>
      <rPr>
        <sz val="10"/>
        <rFont val="Noto Sans CJK SC"/>
        <family val="2"/>
      </rPr>
      <t>）／ものづくり補助金 次回公募 に向け、</t>
    </r>
    <r>
      <rPr>
        <sz val="10"/>
        <rFont val="游ゴシック"/>
        <family val="3"/>
        <charset val="128"/>
      </rPr>
      <t>G</t>
    </r>
    <r>
      <rPr>
        <sz val="10"/>
        <rFont val="Noto Sans CJK SC"/>
        <family val="2"/>
      </rPr>
      <t>ビズ</t>
    </r>
    <r>
      <rPr>
        <sz val="10"/>
        <rFont val="游ゴシック"/>
        <family val="3"/>
        <charset val="128"/>
      </rPr>
      <t>ID</t>
    </r>
    <r>
      <rPr>
        <sz val="10"/>
        <rFont val="Noto Sans CJK SC"/>
        <family val="2"/>
      </rPr>
      <t>・事業計画・見積を今から準備（第</t>
    </r>
    <r>
      <rPr>
        <sz val="10"/>
        <rFont val="游ゴシック"/>
        <family val="3"/>
        <charset val="128"/>
      </rPr>
      <t>19</t>
    </r>
    <r>
      <rPr>
        <sz val="10"/>
        <rFont val="Noto Sans CJK SC"/>
        <family val="2"/>
      </rPr>
      <t>回</t>
    </r>
    <r>
      <rPr>
        <sz val="10"/>
        <rFont val="游ゴシック"/>
        <family val="3"/>
        <charset val="128"/>
      </rPr>
      <t>4/30</t>
    </r>
    <r>
      <rPr>
        <sz val="10"/>
        <rFont val="Noto Sans CJK SC"/>
        <family val="2"/>
      </rPr>
      <t>・創業助成第</t>
    </r>
    <r>
      <rPr>
        <sz val="10"/>
        <rFont val="游ゴシック"/>
        <family val="3"/>
        <charset val="128"/>
      </rPr>
      <t>1</t>
    </r>
    <r>
      <rPr>
        <sz val="10"/>
        <rFont val="Noto Sans CJK SC"/>
        <family val="2"/>
      </rPr>
      <t>回</t>
    </r>
    <r>
      <rPr>
        <sz val="10"/>
        <rFont val="游ゴシック"/>
        <family val="3"/>
        <charset val="128"/>
      </rPr>
      <t>4/16</t>
    </r>
    <r>
      <rPr>
        <sz val="10"/>
        <rFont val="Noto Sans CJK SC"/>
        <family val="2"/>
      </rPr>
      <t>・第</t>
    </r>
    <r>
      <rPr>
        <sz val="10"/>
        <rFont val="游ゴシック"/>
        <family val="3"/>
        <charset val="128"/>
      </rPr>
      <t>23</t>
    </r>
    <r>
      <rPr>
        <sz val="10"/>
        <rFont val="Noto Sans CJK SC"/>
        <family val="2"/>
      </rPr>
      <t>次</t>
    </r>
    <r>
      <rPr>
        <sz val="10"/>
        <rFont val="游ゴシック"/>
        <family val="3"/>
        <charset val="128"/>
      </rPr>
      <t>5/8</t>
    </r>
    <r>
      <rPr>
        <sz val="10"/>
        <rFont val="Noto Sans CJK SC"/>
        <family val="2"/>
      </rPr>
      <t>は締切済）</t>
    </r>
  </si>
  <si>
    <r>
      <rPr>
        <sz val="10"/>
        <rFont val="游ゴシック"/>
        <family val="3"/>
        <charset val="128"/>
      </rPr>
      <t xml:space="preserve">3. </t>
    </r>
    <r>
      <rPr>
        <sz val="10"/>
        <rFont val="Noto Sans CJK SC"/>
        <family val="2"/>
      </rPr>
      <t>建設業許可保有加盟店は</t>
    </r>
    <r>
      <rPr>
        <sz val="10"/>
        <rFont val="游ゴシック"/>
        <family val="3"/>
        <charset val="128"/>
      </rPr>
      <t>CCUS</t>
    </r>
    <r>
      <rPr>
        <sz val="10"/>
        <rFont val="Noto Sans CJK SC"/>
        <family val="2"/>
      </rPr>
      <t>事業者登録・技能者登録の進捗確認（建設関連助成金・モデル工事入札の前提）</t>
    </r>
  </si>
  <si>
    <r>
      <rPr>
        <sz val="10"/>
        <rFont val="游ゴシック"/>
        <family val="3"/>
        <charset val="128"/>
      </rPr>
      <t xml:space="preserve">4. </t>
    </r>
    <r>
      <rPr>
        <sz val="10"/>
        <rFont val="Noto Sans CJK SC"/>
        <family val="2"/>
      </rPr>
      <t>住宅省エネ</t>
    </r>
    <r>
      <rPr>
        <sz val="10"/>
        <rFont val="游ゴシック"/>
        <family val="3"/>
        <charset val="128"/>
      </rPr>
      <t>2026</t>
    </r>
    <r>
      <rPr>
        <sz val="10"/>
        <rFont val="Noto Sans CJK SC"/>
        <family val="2"/>
      </rPr>
      <t>キャンペーンの「住宅省エネ支援事業者登録」を完了（</t>
    </r>
    <r>
      <rPr>
        <sz val="10"/>
        <rFont val="游ゴシック"/>
        <family val="3"/>
        <charset val="128"/>
      </rPr>
      <t>BtoC</t>
    </r>
    <r>
      <rPr>
        <sz val="10"/>
        <rFont val="Noto Sans CJK SC"/>
        <family val="2"/>
      </rPr>
      <t>フロアコーティング営業の決定的差別化）</t>
    </r>
  </si>
  <si>
    <r>
      <rPr>
        <sz val="10"/>
        <rFont val="游ゴシック"/>
        <family val="3"/>
        <charset val="128"/>
      </rPr>
      <t>5. 2026</t>
    </r>
    <r>
      <rPr>
        <sz val="10"/>
        <rFont val="Noto Sans CJK SC"/>
        <family val="2"/>
      </rPr>
      <t>年</t>
    </r>
    <r>
      <rPr>
        <sz val="10"/>
        <rFont val="游ゴシック"/>
        <family val="3"/>
        <charset val="128"/>
      </rPr>
      <t>9</t>
    </r>
    <r>
      <rPr>
        <sz val="10"/>
        <rFont val="Noto Sans CJK SC"/>
        <family val="2"/>
      </rPr>
      <t>月開始の業務改善助成金（令和</t>
    </r>
    <r>
      <rPr>
        <sz val="10"/>
        <rFont val="游ゴシック"/>
        <family val="3"/>
        <charset val="128"/>
      </rPr>
      <t>8</t>
    </r>
    <r>
      <rPr>
        <sz val="10"/>
        <rFont val="Noto Sans CJK SC"/>
        <family val="2"/>
      </rPr>
      <t>年度・</t>
    </r>
    <r>
      <rPr>
        <sz val="10"/>
        <rFont val="游ゴシック"/>
        <family val="3"/>
        <charset val="128"/>
      </rPr>
      <t>3</t>
    </r>
    <r>
      <rPr>
        <sz val="10"/>
        <rFont val="Noto Sans CJK SC"/>
        <family val="2"/>
      </rPr>
      <t>コース）に向け、事業場内最低賃金構造を逆算し賃上げ・設備投資計画を策定（受付</t>
    </r>
    <r>
      <rPr>
        <sz val="10"/>
        <rFont val="游ゴシック"/>
        <family val="3"/>
        <charset val="128"/>
      </rPr>
      <t>2026/9/1</t>
    </r>
    <r>
      <rPr>
        <sz val="10"/>
        <rFont val="Noto Sans CJK SC"/>
        <family val="2"/>
      </rPr>
      <t>～・準備推奨</t>
    </r>
    <r>
      <rPr>
        <sz val="10"/>
        <rFont val="游ゴシック"/>
        <family val="3"/>
        <charset val="128"/>
      </rPr>
      <t>2026/7</t>
    </r>
    <r>
      <rPr>
        <sz val="10"/>
        <rFont val="Noto Sans CJK SC"/>
        <family val="2"/>
      </rPr>
      <t>）</t>
    </r>
  </si>
  <si>
    <r>
      <rPr>
        <sz val="10"/>
        <rFont val="游ゴシック"/>
        <family val="3"/>
        <charset val="128"/>
      </rPr>
      <t xml:space="preserve">6. </t>
    </r>
    <r>
      <rPr>
        <sz val="10"/>
        <rFont val="Noto Sans CJK SC"/>
        <family val="2"/>
      </rPr>
      <t>【重点】所在地特化制度の確認：杉並区エコ住宅促進助成（エムズクリエイト）／北海道省エネ・人材確保（ライフサービス北海道）／沖縄県賃上げ・生産性向上＋若年者雇用（美ら海ハウジング・ひなた）／広島県成長加速化（コムラ）</t>
    </r>
  </si>
  <si>
    <r>
      <rPr>
        <sz val="10"/>
        <rFont val="游ゴシック"/>
        <family val="3"/>
        <charset val="128"/>
      </rPr>
      <t xml:space="preserve">7. </t>
    </r>
    <r>
      <rPr>
        <sz val="10"/>
        <rFont val="Noto Sans CJK SC"/>
        <family val="2"/>
      </rPr>
      <t>【重点】「奨励金」のキーワードでの検索を必須化：補助金・助成金だけでなく奨励金も対象に含める</t>
    </r>
  </si>
  <si>
    <r>
      <rPr>
        <sz val="9"/>
        <color rgb="FFC00000"/>
        <rFont val="游ゴシック"/>
        <family val="3"/>
        <charset val="128"/>
      </rPr>
      <t>※v4.1</t>
    </r>
    <r>
      <rPr>
        <sz val="9"/>
        <color rgb="FFC00000"/>
        <rFont val="Noto Sans CJK SC"/>
        <family val="2"/>
      </rPr>
      <t>：申込期間が</t>
    </r>
    <r>
      <rPr>
        <sz val="9"/>
        <color rgb="FFC00000"/>
        <rFont val="游ゴシック"/>
        <family val="3"/>
        <charset val="128"/>
      </rPr>
      <t>2026/6/30</t>
    </r>
    <r>
      <rPr>
        <sz val="9"/>
        <color rgb="FFC00000"/>
        <rFont val="Noto Sans CJK SC"/>
        <family val="2"/>
      </rPr>
      <t>以前で終了した制度（ものづくり第</t>
    </r>
    <r>
      <rPr>
        <sz val="9"/>
        <color rgb="FFC00000"/>
        <rFont val="游ゴシック"/>
        <family val="3"/>
        <charset val="128"/>
      </rPr>
      <t>23</t>
    </r>
    <r>
      <rPr>
        <sz val="9"/>
        <color rgb="FFC00000"/>
        <rFont val="Noto Sans CJK SC"/>
        <family val="2"/>
      </rPr>
      <t>次・持続化第</t>
    </r>
    <r>
      <rPr>
        <sz val="9"/>
        <color rgb="FFC00000"/>
        <rFont val="游ゴシック"/>
        <family val="3"/>
        <charset val="128"/>
      </rPr>
      <t>19</t>
    </r>
    <r>
      <rPr>
        <sz val="9"/>
        <color rgb="FFC00000"/>
        <rFont val="Noto Sans CJK SC"/>
        <family val="2"/>
      </rPr>
      <t>回</t>
    </r>
    <r>
      <rPr>
        <sz val="9"/>
        <color rgb="FFC00000"/>
        <rFont val="游ゴシック"/>
        <family val="3"/>
        <charset val="128"/>
      </rPr>
      <t>/</t>
    </r>
    <r>
      <rPr>
        <sz val="9"/>
        <color rgb="FFC00000"/>
        <rFont val="Noto Sans CJK SC"/>
        <family val="2"/>
      </rPr>
      <t>創業型第</t>
    </r>
    <r>
      <rPr>
        <sz val="9"/>
        <color rgb="FFC00000"/>
        <rFont val="游ゴシック"/>
        <family val="3"/>
        <charset val="128"/>
      </rPr>
      <t>3</t>
    </r>
    <r>
      <rPr>
        <sz val="9"/>
        <color rgb="FFC00000"/>
        <rFont val="Noto Sans CJK SC"/>
        <family val="2"/>
      </rPr>
      <t>回・新事業進出第</t>
    </r>
    <r>
      <rPr>
        <sz val="9"/>
        <color rgb="FFC00000"/>
        <rFont val="游ゴシック"/>
        <family val="3"/>
        <charset val="128"/>
      </rPr>
      <t>4</t>
    </r>
    <r>
      <rPr>
        <sz val="9"/>
        <color rgb="FFC00000"/>
        <rFont val="Noto Sans CJK SC"/>
        <family val="2"/>
      </rPr>
      <t>回等）は制度マスタから削除済。本</t>
    </r>
    <r>
      <rPr>
        <sz val="9"/>
        <color rgb="FFC00000"/>
        <rFont val="游ゴシック"/>
        <family val="3"/>
        <charset val="128"/>
      </rPr>
      <t>TOP10</t>
    </r>
    <r>
      <rPr>
        <sz val="9"/>
        <color rgb="FFC00000"/>
        <rFont val="Noto Sans CJK SC"/>
        <family val="2"/>
      </rPr>
      <t>は制度カテゴリ単位の周知方針として維持し、着手案内は次回公募ベースに更新しました。</t>
    </r>
  </si>
  <si>
    <t>中東情勢・燃油高騰・経営悪化対応 緊急支援ガイド（融資・雇用維持・燃料費軽減）※各制度名・URLはクリックで公式HPへ</t>
  </si>
  <si>
    <t>昨今の中東情勢・原油価格高騰・受注減等で資金繰りが悪化した加盟店向け。申込のしやすい順に掲載（調査日：2026年5月17日）</t>
  </si>
  <si>
    <t>■ まず最初に：無料相談窓口（融資の要否・最適制度を相談できる入口）</t>
  </si>
  <si>
    <t>「中東・ウクライナ情勢・原油価格上昇等に関する特別相談窓口」（2026/3/23拡充）：全国の日本政策金融公庫・商工中金・信用保証協会・商工会議所・商工会・よろず支援拠点・中小機構各地域本部・各経済産業局に設置。資金繰りや経営の相談を無料で受付。まずここで自社に最適な融資・保証制度を相談するのが最短ルート。</t>
  </si>
  <si>
    <t>■ 融資・保証制度の比較（申込しやすい順）</t>
  </si>
  <si>
    <t>限度額・保証割合</t>
  </si>
  <si>
    <t>金利・保証料</t>
  </si>
  <si>
    <t>主な要件（中東情勢対応の緩和点）</t>
  </si>
  <si>
    <t>申込難易度</t>
  </si>
  <si>
    <t>国民生活7,200万円
中小事業7億2,000万円</t>
  </si>
  <si>
    <t>基準利率（中東情勢等で売上5%減なら-0.4%）
設備20年・運転10年（据置3年）</t>
  </si>
  <si>
    <t>売上5%以上減少等。中東情勢影響なら数値要件未達でも資金繰りに著しい支障があれば対象に緩和</t>
  </si>
  <si>
    <t>易（最有力）</t>
  </si>
  <si>
    <t>中小企業庁ほか公的機関</t>
  </si>
  <si>
    <t>相談無料
（各融資へ取次）</t>
  </si>
  <si>
    <t>中東情勢・原油高等で困難な事業者の相談を全国窓口で受付。融資判断の入口</t>
  </si>
  <si>
    <t>各信用金庫・地銀等</t>
  </si>
  <si>
    <t>金融機関ごと
（例：5,000万円）</t>
  </si>
  <si>
    <t>金融機関ごとに優遇金利</t>
  </si>
  <si>
    <t>取引金融機関が独自設定。条件・名称は金融機関により異なる。まず取引行へ相談</t>
  </si>
  <si>
    <t>別枠3,000万円
（国民生活事業）</t>
  </si>
  <si>
    <t>基準利率</t>
  </si>
  <si>
    <t>取引先倒産で経営困難。50万円以上の売掛金債権等。元請倒産リスクに対応</t>
  </si>
  <si>
    <t>信用保証協会</t>
  </si>
  <si>
    <t>別枠保証
（80%／借換100%）</t>
  </si>
  <si>
    <t>保証料率0.4%軽減
（国補助）</t>
  </si>
  <si>
    <t>物価高・人手不足の影響。経営行動計画策定と金融機関の継続モニタリングが条件</t>
  </si>
  <si>
    <t>信用保証協会／市区町村</t>
  </si>
  <si>
    <t>別枠2億8,000万円
（80%保証）</t>
  </si>
  <si>
    <t>保証料率おおむね1%以内</t>
  </si>
  <si>
    <t>指定業種かつ売上5%以上減少。市区町村の認定書取得が必要（四半期毎に指定業種更新）</t>
  </si>
  <si>
    <t>別枠2億8,000万円
（100%保証）</t>
  </si>
  <si>
    <t>突発的災害等の指定時のみ。売上20%以上減少。全業種対象・100%保証</t>
  </si>
  <si>
    <t>■ 申込までの基本フロー（セーフティネット貸付の例）</t>
  </si>
  <si>
    <r>
      <rPr>
        <sz val="10"/>
        <rFont val="游ゴシック"/>
        <family val="3"/>
        <charset val="128"/>
      </rPr>
      <t xml:space="preserve">1. </t>
    </r>
    <r>
      <rPr>
        <sz val="10"/>
        <rFont val="Noto Sans CJK SC"/>
        <family val="2"/>
      </rPr>
      <t>要件確認：売上減少幅または中東情勢の影響を自社で確認（数値未達でも相談可）</t>
    </r>
  </si>
  <si>
    <r>
      <rPr>
        <sz val="10"/>
        <rFont val="游ゴシック"/>
        <family val="3"/>
        <charset val="128"/>
      </rPr>
      <t xml:space="preserve">2. </t>
    </r>
    <r>
      <rPr>
        <sz val="10"/>
        <rFont val="Noto Sans CJK SC"/>
        <family val="2"/>
      </rPr>
      <t>事前相談：特別相談窓口または日本政策金融公庫の最寄支店へ相談（電話・来店）</t>
    </r>
  </si>
  <si>
    <r>
      <rPr>
        <sz val="10"/>
        <rFont val="游ゴシック"/>
        <family val="3"/>
        <charset val="128"/>
      </rPr>
      <t xml:space="preserve">3. </t>
    </r>
    <r>
      <rPr>
        <sz val="10"/>
        <rFont val="Noto Sans CJK SC"/>
        <family val="2"/>
      </rPr>
      <t>書類準備：確定申告書、試算表、資金繰り表、見積書等を準備</t>
    </r>
  </si>
  <si>
    <r>
      <rPr>
        <sz val="10"/>
        <rFont val="游ゴシック"/>
        <family val="3"/>
        <charset val="128"/>
      </rPr>
      <t xml:space="preserve">4. </t>
    </r>
    <r>
      <rPr>
        <sz val="10"/>
        <rFont val="Noto Sans CJK SC"/>
        <family val="2"/>
      </rPr>
      <t>融資申込：日本政策金融公庫へ申込（保証制度の場合は市区町村で認定書取得→金融機関・信用保証協会へ）</t>
    </r>
  </si>
  <si>
    <r>
      <rPr>
        <sz val="10"/>
        <rFont val="游ゴシック"/>
        <family val="3"/>
        <charset val="128"/>
      </rPr>
      <t xml:space="preserve">5. </t>
    </r>
    <r>
      <rPr>
        <sz val="10"/>
        <rFont val="Noto Sans CJK SC"/>
        <family val="2"/>
      </rPr>
      <t>審査・面談：日本政策金融公庫の審査・面談（通常</t>
    </r>
    <r>
      <rPr>
        <sz val="10"/>
        <rFont val="游ゴシック"/>
        <family val="3"/>
        <charset val="128"/>
      </rPr>
      <t>2</t>
    </r>
    <r>
      <rPr>
        <sz val="10"/>
        <rFont val="Noto Sans CJK SC"/>
        <family val="2"/>
      </rPr>
      <t>～</t>
    </r>
    <r>
      <rPr>
        <sz val="10"/>
        <rFont val="游ゴシック"/>
        <family val="3"/>
        <charset val="128"/>
      </rPr>
      <t>3</t>
    </r>
    <r>
      <rPr>
        <sz val="10"/>
        <rFont val="Noto Sans CJK SC"/>
        <family val="2"/>
      </rPr>
      <t>週間程度）</t>
    </r>
  </si>
  <si>
    <r>
      <rPr>
        <sz val="10"/>
        <rFont val="游ゴシック"/>
        <family val="3"/>
        <charset val="128"/>
      </rPr>
      <t xml:space="preserve">6. </t>
    </r>
    <r>
      <rPr>
        <sz val="10"/>
        <rFont val="Noto Sans CJK SC"/>
        <family val="2"/>
      </rPr>
      <t>融資実行：契約後に入金。据置期間（最大</t>
    </r>
    <r>
      <rPr>
        <sz val="10"/>
        <rFont val="游ゴシック"/>
        <family val="3"/>
        <charset val="128"/>
      </rPr>
      <t>3</t>
    </r>
    <r>
      <rPr>
        <sz val="10"/>
        <rFont val="Noto Sans CJK SC"/>
        <family val="2"/>
      </rPr>
      <t>年）を活用し返済負担を平準化</t>
    </r>
  </si>
  <si>
    <r>
      <rPr>
        <b/>
        <sz val="12"/>
        <color rgb="FFC00000"/>
        <rFont val="游ゴシック"/>
        <family val="3"/>
        <charset val="128"/>
      </rPr>
      <t>■ JHCA</t>
    </r>
    <r>
      <rPr>
        <b/>
        <sz val="12"/>
        <color rgb="FFC00000"/>
        <rFont val="Noto Sans CJK SC"/>
        <family val="2"/>
      </rPr>
      <t>加盟店への注意喚起</t>
    </r>
  </si>
  <si>
    <t>・融資は返済義務がある。補助金・助成金（返済不要）と異なる点を理解し、返済計画を必ず策定すること</t>
  </si>
  <si>
    <t>・セーフティネット保証5号は指定業種が四半期毎に更新される。建設・内装関連が指定対象かを申込時点で必ず確認（中小企業庁HP）</t>
  </si>
  <si>
    <t>・認定書の有効期間（原則30日）に注意。認定取得後は速やかに金融機関へ申込むこと</t>
  </si>
  <si>
    <t>・金利・保証料率・限度額は2026年5月時点。金融情勢で変動するため申込前に最新条件を必ず確認すること</t>
  </si>
  <si>
    <t>・複数制度の併用可否・最適な組合せは特別相談窓口または認定経営革新等支援機関に相談すること</t>
  </si>
  <si>
    <t>■ 雇用を守る制度（解雇・廃業の前に確認）</t>
  </si>
  <si>
    <t>概要</t>
  </si>
  <si>
    <t>助成・上限</t>
  </si>
  <si>
    <t>ポイント</t>
  </si>
  <si>
    <t>燃油高騰による受注減・売上減で従業員を休業させた場合に休業手当を助成。解雇回避の最優先策</t>
  </si>
  <si>
    <r>
      <rPr>
        <sz val="10"/>
        <rFont val="游ゴシック"/>
        <family val="3"/>
        <charset val="128"/>
      </rPr>
      <t>1</t>
    </r>
    <r>
      <rPr>
        <sz val="10"/>
        <rFont val="Noto Sans CJK SC"/>
        <family val="2"/>
      </rPr>
      <t>人</t>
    </r>
    <r>
      <rPr>
        <sz val="10"/>
        <rFont val="游ゴシック"/>
        <family val="3"/>
        <charset val="128"/>
      </rPr>
      <t>1</t>
    </r>
    <r>
      <rPr>
        <sz val="10"/>
        <rFont val="Noto Sans CJK SC"/>
        <family val="2"/>
      </rPr>
      <t>日上限</t>
    </r>
    <r>
      <rPr>
        <sz val="10"/>
        <rFont val="游ゴシック"/>
        <family val="3"/>
        <charset val="128"/>
      </rPr>
      <t>8,870</t>
    </r>
    <r>
      <rPr>
        <sz val="10"/>
        <rFont val="Noto Sans CJK SC"/>
        <family val="2"/>
      </rPr>
      <t>円
中小</t>
    </r>
    <r>
      <rPr>
        <sz val="10"/>
        <rFont val="游ゴシック"/>
        <family val="3"/>
        <charset val="128"/>
      </rPr>
      <t>2/3</t>
    </r>
    <r>
      <rPr>
        <sz val="10"/>
        <rFont val="Noto Sans CJK SC"/>
        <family val="2"/>
      </rPr>
      <t>助成</t>
    </r>
  </si>
  <si>
    <t>売上3か月前年同期比10%以上減少等。労使協定必要。漁業の不漁直接理由は対象外だが燃油コスト増は対象</t>
  </si>
  <si>
    <t>万一倒産した場合に退職労働者の未払賃金・退職金を国が立替払（従業員保護の最後の砦）</t>
  </si>
  <si>
    <t>未払総額の80%
（年齢別上限）</t>
  </si>
  <si>
    <t>法的整理・事実上の倒産が前提。事業継続中は利用不可。経営者は制度の存在を把握しておく</t>
  </si>
  <si>
    <t>■ 燃料費負担を直接軽減する措置</t>
  </si>
  <si>
    <t>燃料油価格激変緩和措置（2026/3/19発動中）：中東情勢による燃油高騰を受け、ガソリン170円程度・軽油157円程度・灯油139円程度・重油も補助。事業者の申請は不要（小売価格に反映済）。施工車両の燃料費や現場暖房用灯油・重油の負担を間接軽減。情勢により政府が縮小・終了を判断するため価格動向の注視が必要。</t>
  </si>
  <si>
    <t>■ 各制度の公式ホームページURL一覧（制度名クリックでも遷移可）</t>
  </si>
  <si>
    <t>公式ホームページ（クリックで遷移）</t>
  </si>
  <si>
    <t>セーフティネット貸付（経営環境変化対応資金）</t>
  </si>
  <si>
    <t>中東・ウクライナ情勢等 特別相談窓口</t>
  </si>
  <si>
    <t>民間金融機関 中東情勢対応ローン（例：西武信用金庫）</t>
  </si>
  <si>
    <t>取引企業倒産対応資金</t>
  </si>
  <si>
    <t>モニタリング強化型保証制度／セーフティネット保証 概要</t>
  </si>
  <si>
    <t>セーフティネット保証5号（業況悪化業種）</t>
  </si>
  <si>
    <t>セーフティネット保証4号（突発的災害）</t>
  </si>
  <si>
    <t>金融一般支援（中小企業の資金繰り支援 総合案内）</t>
  </si>
  <si>
    <t>未払賃金立替払制度</t>
  </si>
  <si>
    <t>労働者健康安全機構</t>
  </si>
  <si>
    <t>燃料油価格激変緩和措置</t>
  </si>
  <si>
    <t>資源エネルギー庁</t>
  </si>
  <si>
    <t>加盟店別 地域融資ガイド（自治体制度融資・マル経融資・信用金庫）</t>
  </si>
  <si>
    <t>加盟店21社の所在地別に活用できる公的融資を整理（調査日：2026年5月17日／金利等は変動するため申込前に要確認）</t>
  </si>
  <si>
    <t>■ 全加盟店が活用できる共通の公的融資（所在地不問）</t>
  </si>
  <si>
    <t>限度額</t>
  </si>
  <si>
    <t>金利・特徴</t>
  </si>
  <si>
    <t>申込先・ポイント</t>
  </si>
  <si>
    <t>マル経融資（小規模事業者経営改善資金）</t>
  </si>
  <si>
    <t>日本政策金融公庫（商工会議所・商工会推薦）</t>
  </si>
  <si>
    <r>
      <rPr>
        <sz val="10"/>
        <rFont val="游ゴシック"/>
        <family val="3"/>
        <charset val="128"/>
      </rPr>
      <t>2,000</t>
    </r>
    <r>
      <rPr>
        <sz val="10"/>
        <rFont val="Noto Sans CJK SC"/>
        <family val="2"/>
      </rPr>
      <t>万円</t>
    </r>
  </si>
  <si>
    <t>無担保・無保証人。低利（特別利率F）。運転資金7年以内（据置1年以内）／設備資金10年以内（据置2年以内）</t>
  </si>
  <si>
    <t>所在地の商工会議所・商工会で原則6か月以上の経営指導を受け推薦を得る。最も借りやすい公的融資の一つ。従業員20人以下(商業サービス業5人以下)が対象</t>
  </si>
  <si>
    <t>国民生活7,200万円／中小事業7億2,000万円</t>
  </si>
  <si>
    <t>売上5%以上減少等。中東情勢影響なら数値要件未達でも対象に緩和。最寄りの公庫支店へ相談</t>
  </si>
  <si>
    <t>セーフティネット保証4号・5号</t>
  </si>
  <si>
    <t>一般保証と別枠で2億8,000万円（うち無担保8,000万円）</t>
  </si>
  <si>
    <r>
      <rPr>
        <sz val="10"/>
        <rFont val="游ゴシック"/>
        <family val="3"/>
        <charset val="128"/>
      </rPr>
      <t>4</t>
    </r>
    <r>
      <rPr>
        <sz val="10"/>
        <rFont val="Noto Sans CJK SC"/>
        <family val="2"/>
      </rPr>
      <t>号</t>
    </r>
    <r>
      <rPr>
        <sz val="10"/>
        <rFont val="游ゴシック"/>
        <family val="3"/>
        <charset val="128"/>
      </rPr>
      <t>100%</t>
    </r>
    <r>
      <rPr>
        <sz val="10"/>
        <rFont val="Noto Sans CJK SC"/>
        <family val="2"/>
      </rPr>
      <t>保証・</t>
    </r>
    <r>
      <rPr>
        <sz val="10"/>
        <rFont val="游ゴシック"/>
        <family val="3"/>
        <charset val="128"/>
      </rPr>
      <t>5</t>
    </r>
    <r>
      <rPr>
        <sz val="10"/>
        <rFont val="Noto Sans CJK SC"/>
        <family val="2"/>
      </rPr>
      <t>号</t>
    </r>
    <r>
      <rPr>
        <sz val="10"/>
        <rFont val="游ゴシック"/>
        <family val="3"/>
        <charset val="128"/>
      </rPr>
      <t>80%</t>
    </r>
    <r>
      <rPr>
        <sz val="10"/>
        <rFont val="Noto Sans CJK SC"/>
        <family val="2"/>
      </rPr>
      <t>保証。保証料率おおむね</t>
    </r>
    <r>
      <rPr>
        <sz val="10"/>
        <rFont val="游ゴシック"/>
        <family val="3"/>
        <charset val="128"/>
      </rPr>
      <t>1%</t>
    </r>
    <r>
      <rPr>
        <sz val="10"/>
        <rFont val="Noto Sans CJK SC"/>
        <family val="2"/>
      </rPr>
      <t>以内</t>
    </r>
  </si>
  <si>
    <t>市区町村で認定書取得後、金融機関・信用保証協会へ。5号は指定業種要確認（四半期更新）</t>
  </si>
  <si>
    <t>■ 都道府県別の制度融資（県・信用保証協会・金融機関が連携）</t>
  </si>
  <si>
    <t>都道府県</t>
  </si>
  <si>
    <t>主な制度融資（経営安定・原材料高対応）</t>
  </si>
  <si>
    <t>限度額の目安</t>
  </si>
  <si>
    <t>問合せ・申込</t>
  </si>
  <si>
    <t>①エムズ②M&amp;M④プラウディア⑤NK⑧HRG⑨INN'X⑭モア⑮ファイブスターズ⑲クロハ⑳湖南商会㉑木戸（計11社）</t>
  </si>
  <si>
    <t>東京都中小企業制度融資（経営支援融資・小口支援・政策課題対応資金等）。令和8年度は政策課題対応資金拡充・プロパー融資促進型新設</t>
  </si>
  <si>
    <t>経営支援2億8,000万円／小口2,000万円</t>
  </si>
  <si>
    <t>東京信用保証協会・取扱金融機関・東京都産業労働局</t>
  </si>
  <si>
    <t>③サンマリン⑥AQURAS（計2社）</t>
  </si>
  <si>
    <t>千葉県中小企業振興資金（経営安定資金・セーフティネット資金等）令和8年4月改正。千葉市はSDGs優遇あり</t>
  </si>
  <si>
    <t>資金により異なる（数千万円規模）</t>
  </si>
  <si>
    <t>千葉県信用保証協会・取扱金融機関・千葉県商工労働部</t>
  </si>
  <si>
    <t>⑦ティースタイル⑬ライフステージ（計2社）</t>
  </si>
  <si>
    <t>埼玉県中小企業制度融資（経営安定資金・物価高騰対応メニュー等）。イラン情勢影響への資金繰り支援も実施</t>
  </si>
  <si>
    <t>資金により異なる</t>
  </si>
  <si>
    <t>埼玉県信用保証協会・取扱金融機関・埼玉県産業労働政策課</t>
  </si>
  <si>
    <t>⑩エスコート（計1社）</t>
  </si>
  <si>
    <t>福岡県中小企業振興資金（経営安定資金）。原材料・電気料金・人件費高騰の影響、米国関税影響も対象</t>
  </si>
  <si>
    <t>福岡県信用保証協会・取扱金融機関・福岡県中小企業振興課</t>
  </si>
  <si>
    <t>⑪ライフサービス北海道（計1社）</t>
  </si>
  <si>
    <t>北海道中小企業総合振興資金。道内どの市町村・どの金融機関でも同一条件で利用可</t>
  </si>
  <si>
    <t>北海道信用保証協会・取扱金融機関・北海道中小企業課</t>
  </si>
  <si>
    <t>⑫美ら海ハウジング⑰ひなた（計2社）</t>
  </si>
  <si>
    <t>沖縄県中小企業セーフティネット資金（売上5%減・原材料10%高騰等）。沖縄振興開発金融公庫の融資も活用可</t>
  </si>
  <si>
    <r>
      <rPr>
        <sz val="10"/>
        <rFont val="游ゴシック"/>
        <family val="3"/>
        <charset val="128"/>
      </rPr>
      <t>1</t>
    </r>
    <r>
      <rPr>
        <sz val="10"/>
        <rFont val="Noto Sans CJK SC"/>
        <family val="2"/>
      </rPr>
      <t>事由</t>
    </r>
    <r>
      <rPr>
        <sz val="10"/>
        <rFont val="游ゴシック"/>
        <family val="3"/>
        <charset val="128"/>
      </rPr>
      <t>3,000</t>
    </r>
    <r>
      <rPr>
        <sz val="10"/>
        <rFont val="Noto Sans CJK SC"/>
        <family val="2"/>
      </rPr>
      <t>万円以内（県</t>
    </r>
    <r>
      <rPr>
        <sz val="10"/>
        <rFont val="游ゴシック"/>
        <family val="3"/>
        <charset val="128"/>
      </rPr>
      <t>SN</t>
    </r>
    <r>
      <rPr>
        <sz val="10"/>
        <rFont val="Noto Sans CJK SC"/>
        <family val="2"/>
      </rPr>
      <t>資金）</t>
    </r>
  </si>
  <si>
    <t>沖縄県信用保証協会・沖縄振興開発金融公庫・沖縄県中小企業課</t>
  </si>
  <si>
    <t>⑯コムラ（計1社）</t>
  </si>
  <si>
    <t>広島県制度融資（セーフティネット資金・緊急経営基盤強化資金・借換資金・無担保スピード保証融資等）</t>
  </si>
  <si>
    <t>広島県信用保証協会・取扱金融機関・広島県経営革新課</t>
  </si>
  <si>
    <t>⑱アプソン（計1社）</t>
  </si>
  <si>
    <t>和歌山県中小企業融資制度（経営支援資金・資金繰り安定資金）。低利・固定・長期、保証料を県が一部負担</t>
  </si>
  <si>
    <t>和歌山県信用保証協会・取扱金融機関・わかやま産業振興財団</t>
  </si>
  <si>
    <t>■ 東京都内 区市の制度融資・利子補給（マル経利子補給対象区を含む）</t>
  </si>
  <si>
    <t>東京商工会議所によると、中央区・港区・新宿区・北区・荒川区・品川区・大田区・世田谷区・中野区・杉並区・板橋区・練馬区・江東区・墨田区・足立区・葛飾区では、一定の条件でマル経融資の支払利息の一部を区が補助。加盟店の所在区がこれに該当する場合は区の利子補給を併用できる。</t>
  </si>
  <si>
    <t>区市</t>
  </si>
  <si>
    <t>区市の制度融資・利子補給の概要</t>
  </si>
  <si>
    <r>
      <rPr>
        <sz val="10"/>
        <rFont val="游ゴシック"/>
        <family val="3"/>
        <charset val="128"/>
      </rPr>
      <t>②M&amp;M④</t>
    </r>
    <r>
      <rPr>
        <sz val="10"/>
        <rFont val="Noto Sans CJK SC"/>
        <family val="2"/>
      </rPr>
      <t>プラウディア</t>
    </r>
  </si>
  <si>
    <t>区独自の中小企業者向け融資あっせん・利子補給あり。マル経利子補給対象区。区産業経済部へ要確認</t>
  </si>
  <si>
    <t>⑮ファイブスターズ</t>
  </si>
  <si>
    <t>区中小企業融資あっせん・利子補給あり。マル経利子補給対象区。世田谷区産業政策部へ要確認</t>
  </si>
  <si>
    <t>①エムズクリエイト</t>
  </si>
  <si>
    <t>杉並区中小企業資金融資あっせん（利子補給・信用保証料補助）。マル経利子補給対象区</t>
  </si>
  <si>
    <t>⑳湖南商会</t>
  </si>
  <si>
    <t>墨田区中小企業融資あっせん・利子補給あり。マル経利子補給対象区。区産業観光部へ要確認</t>
  </si>
  <si>
    <r>
      <rPr>
        <sz val="10"/>
        <rFont val="游ゴシック"/>
        <family val="3"/>
        <charset val="128"/>
      </rPr>
      <t>⑤NK</t>
    </r>
    <r>
      <rPr>
        <sz val="10"/>
        <rFont val="Noto Sans CJK SC"/>
        <family val="2"/>
      </rPr>
      <t>サービス</t>
    </r>
  </si>
  <si>
    <t>豊島区中小企業融資あっせん制度・利子補給あり。区生活産業課へ要確認</t>
  </si>
  <si>
    <t>⑧HRG</t>
  </si>
  <si>
    <t>台東区中小企業融資あっせん（運転・設備・小規模事業者経営改善等）・利子補給あり</t>
  </si>
  <si>
    <t>⑨INN'X</t>
  </si>
  <si>
    <t>江戸川区産業振興・中小企業融資あっせん・利子補給あり。区産業振興課へ要確認</t>
  </si>
  <si>
    <t>⑭モアインテリアデザイン</t>
  </si>
  <si>
    <t>中央区商工業融資（あっせん・利子補給・信用保証料補助）。マル経利子補給対象区</t>
  </si>
  <si>
    <t>⑲クロハ・エージェンシー</t>
  </si>
  <si>
    <t>渋谷区中小企業融資あっせん・利子補給あり。区産業観光課へ要確認</t>
  </si>
  <si>
    <t>㉑木戸事務所</t>
  </si>
  <si>
    <t>八王子市中小企業振興資金融資あっせん・利子補給あり。市産業振興部へ要確認</t>
  </si>
  <si>
    <t>■ その他市の制度（県外加盟店の所在市）</t>
  </si>
  <si>
    <t>千葉市（⑥AQURAS）</t>
  </si>
  <si>
    <t>千葉市中小企業資金融資制度（振興資金・小規模事業資金等）。SDGs取組で利子補給+0.5%上乗せ・融資利率-0.1%優遇</t>
  </si>
  <si>
    <t>八千代市（③サンマリン）</t>
  </si>
  <si>
    <t>八千代市の中小企業者向け融資あっせん・利子補給。市商工担当窓口へ要確認</t>
  </si>
  <si>
    <t>八潮市（⑦ティースタイル）</t>
  </si>
  <si>
    <t>八潮市中小企業融資あっせん・利子補給。市産業経済部へ要確認</t>
  </si>
  <si>
    <t>春日部市（⑬ライフステージ）</t>
  </si>
  <si>
    <t>春日部市中小企業融資・中小企業センター事業。市商工振興課へ要確認</t>
  </si>
  <si>
    <t>福岡市東区（⑩エスコート）</t>
  </si>
  <si>
    <t>福岡市中小企業融資制度（経営安定資金等）。福岡市経済観光文化局へ要確認</t>
  </si>
  <si>
    <t>札幌市東区（⑪ライフサービス北海道）</t>
  </si>
  <si>
    <t>札幌市中小企業向け融資制度（経営安定支援資金等）。市経済観光局へ要確認</t>
  </si>
  <si>
    <t>浦添市（⑫美ら海ハウジング）</t>
  </si>
  <si>
    <t>浦添市中小企業支援・スタートアップ浦添。市産業振興課へ要確認</t>
  </si>
  <si>
    <t>宜野湾市（⑰ひなた）</t>
  </si>
  <si>
    <t>宜野湾市中小企業支援・市制度融資。市産業政策課へ要確認</t>
  </si>
  <si>
    <t>広島市西区（⑯コムラ）</t>
  </si>
  <si>
    <t>広島市中小企業融資制度（経営安定資金等）。市経済観光局へ要確認</t>
  </si>
  <si>
    <t>海南市（⑱アプソン）</t>
  </si>
  <si>
    <t>海南市・和歌山県の制度融資。海南商工会議所へ要確認</t>
  </si>
  <si>
    <t>■ 信用金庫・地域金融機関の活用</t>
  </si>
  <si>
    <t>信用金庫は営業エリア内の中小企業（従業員300人以下または資本金9億円以下）を会員として、地域密着の事業者向け融資を行う。制度融資の取扱金融機関にもなっており、プロパー融資と制度融資の両方を相談できる。</t>
  </si>
  <si>
    <t>活用のポイント：(1)所在地の信用金庫に取引口座を開設し関係を構築 (2)制度融資（都道府県・市区町村）の取扱窓口として信用金庫を利用 (3)セーフティネット保証付き融資の申込窓口としても利用可能</t>
  </si>
  <si>
    <t>千葉県の制度融資取扱信用金庫の例：千葉信金・銚子信金・東京ベイ信金・館山信金・佐原信金・東京シティ信金・東京東信金・亀有信金・小松川信金・城北信金・埼玉縣信金等（千葉県公式より）</t>
  </si>
  <si>
    <t>東京都内の主な信用金庫：城北信金・西武信金・芝信金・東京信金・多摩信金・西京信金・城南信金・きらぼし（旧八千代等）他。各信金が中東情勢・物価高対応の独自融資を設定する場合あり（要問合せ）</t>
  </si>
  <si>
    <t>まず取引のある、または所在地の信用金庫へ相談するのが資金繰りの第一歩。制度融資・マル経・セーフティネット保証の窓口を兼ねるため、複数制度をワンストップで相談できる。</t>
  </si>
  <si>
    <t>■ 加盟店への注意喚起</t>
  </si>
  <si>
    <t>・本シートの区市町村の制度融資・利子補給は、東京商工会議所等の公開情報を基に整理した一般的な傾向であり、各区市で制度名・条件・予算枠が毎年変わる。必ず所在地の自治体（産業振興・商工担当課）の最新の公式情報を確認すること。</t>
  </si>
  <si>
    <t>・利子補給・信用保証料補助の有無や率は区市により異なる。マル経利子補給対象区（東商公表16区）以外でも独自制度がある場合があるため、所在地自治体へ個別に確認すること。</t>
  </si>
  <si>
    <t>・制度融資は信用保証協会の保証付きが基本。保証審査・金融機関審査があり、認定を受けても融資が確約されるものではない。</t>
  </si>
  <si>
    <t>・金利・限度額・保証料率は2026年5月時点の調査値。金融情勢で変動するため、申込前に各実施機関の公式サイトまたは窓口で最新条件を必ず確認すること。</t>
  </si>
  <si>
    <t>・複数制度の併用可否・最適な組合せは、所在地の商工会議所・商工会、信用金庫、または認定経営革新等支援機関に相談すること。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</si>
</sst>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1"/>
    </font>
    <font>
      <b/>
      <sz val="18"/>
      <color rgb="FF1F4E78"/>
      <name val="游ゴシック"/>
      <family val="3"/>
      <charset val="128"/>
    </font>
    <font>
      <b/>
      <sz val="18"/>
      <color rgb="FF1F4E78"/>
      <name val="Noto Sans CJK SC"/>
      <family val="2"/>
    </font>
    <font>
      <b/>
      <sz val="12"/>
      <color rgb="FF595959"/>
      <name val="Noto Sans CJK SC"/>
      <family val="2"/>
      <charset val="1"/>
    </font>
    <font>
      <b/>
      <sz val="10"/>
      <name val="Noto Sans CJK SC"/>
      <family val="2"/>
      <charset val="1"/>
    </font>
    <font>
      <sz val="10"/>
      <name val="Noto Sans CJK SC"/>
      <family val="2"/>
      <charset val="1"/>
    </font>
    <font>
      <sz val="10"/>
      <name val="游ゴシック"/>
      <family val="3"/>
      <charset val="128"/>
    </font>
    <font>
      <sz val="10"/>
      <name val="Noto Sans CJK SC"/>
      <family val="2"/>
    </font>
    <font>
      <b/>
      <sz val="12"/>
      <color rgb="FF1F4E78"/>
      <name val="Noto Sans CJK SC"/>
      <family val="2"/>
      <charset val="1"/>
    </font>
    <font>
      <b/>
      <sz val="11"/>
      <color rgb="FFFFFFFF"/>
      <name val="Noto Sans CJK SC"/>
      <family val="2"/>
      <charset val="1"/>
    </font>
    <font>
      <b/>
      <sz val="11"/>
      <color rgb="FFC00000"/>
      <name val="游ゴシック"/>
      <family val="3"/>
      <charset val="128"/>
    </font>
    <font>
      <b/>
      <sz val="12"/>
      <color rgb="FFC00000"/>
      <name val="Noto Sans CJK SC"/>
      <family val="2"/>
      <charset val="1"/>
    </font>
    <font>
      <b/>
      <sz val="12"/>
      <color rgb="FFC00000"/>
      <name val="Noto Sans CJK SC"/>
      <family val="2"/>
    </font>
    <font>
      <b/>
      <sz val="12"/>
      <color rgb="FFC00000"/>
      <name val="游ゴシック"/>
      <family val="3"/>
      <charset val="128"/>
    </font>
    <font>
      <b/>
      <sz val="14"/>
      <color rgb="FF1F4E78"/>
      <name val="游ゴシック"/>
      <family val="3"/>
      <charset val="128"/>
    </font>
    <font>
      <b/>
      <sz val="14"/>
      <color rgb="FF1F4E78"/>
      <name val="Noto Sans CJK SC"/>
      <family val="2"/>
    </font>
    <font>
      <i/>
      <sz val="10"/>
      <color rgb="FF595959"/>
      <name val="Noto Sans CJK SC"/>
      <family val="2"/>
      <charset val="1"/>
    </font>
    <font>
      <b/>
      <sz val="11"/>
      <color rgb="FFFFFFFF"/>
      <name val="游ゴシック"/>
      <family val="3"/>
      <charset val="128"/>
    </font>
    <font>
      <b/>
      <sz val="11"/>
      <color rgb="FFFFFFFF"/>
      <name val="Noto Sans CJK SC"/>
      <family val="2"/>
    </font>
    <font>
      <u/>
      <sz val="10"/>
      <color rgb="FF0563C1"/>
      <name val="Noto Sans CJK SC"/>
      <family val="2"/>
      <charset val="1"/>
    </font>
    <font>
      <u/>
      <sz val="10"/>
      <color rgb="FF0563C1"/>
      <name val="游ゴシック"/>
      <family val="3"/>
      <charset val="128"/>
    </font>
    <font>
      <b/>
      <sz val="11"/>
      <color rgb="FFC00000"/>
      <name val="Noto Sans CJK SC"/>
      <family val="2"/>
      <charset val="1"/>
    </font>
    <font>
      <b/>
      <sz val="14"/>
      <color rgb="FF1F4E78"/>
      <name val="Noto Sans CJK SC"/>
      <family val="2"/>
      <charset val="1"/>
    </font>
    <font>
      <b/>
      <sz val="10"/>
      <color rgb="FFFFFFFF"/>
      <name val="Noto Sans CJK SC"/>
      <family val="2"/>
      <charset val="1"/>
    </font>
    <font>
      <b/>
      <sz val="10"/>
      <color rgb="FFC00000"/>
      <name val="Noto Sans CJK SC"/>
      <family val="2"/>
      <charset val="1"/>
    </font>
    <font>
      <b/>
      <sz val="10"/>
      <name val="游ゴシック"/>
      <family val="3"/>
      <charset val="128"/>
    </font>
    <font>
      <b/>
      <sz val="10"/>
      <name val="Noto Sans CJK SC"/>
      <family val="2"/>
    </font>
    <font>
      <sz val="9"/>
      <color rgb="FFC00000"/>
      <name val="Noto Sans CJK SC"/>
      <family val="2"/>
      <charset val="1"/>
    </font>
    <font>
      <i/>
      <sz val="10"/>
      <color rgb="FF595959"/>
      <name val="游ゴシック"/>
      <family val="3"/>
      <charset val="128"/>
    </font>
    <font>
      <i/>
      <sz val="10"/>
      <color rgb="FF595959"/>
      <name val="Noto Sans CJK SC"/>
      <family val="2"/>
    </font>
    <font>
      <sz val="9"/>
      <color rgb="FFC00000"/>
      <name val="游ゴシック"/>
      <family val="3"/>
      <charset val="128"/>
    </font>
    <font>
      <sz val="9"/>
      <color rgb="FFC00000"/>
      <name val="Noto Sans CJK SC"/>
      <family val="2"/>
    </font>
    <font>
      <b/>
      <u/>
      <sz val="10"/>
      <color rgb="FF0563C1"/>
      <name val="Noto Sans CJK SC"/>
      <family val="2"/>
      <charset val="1"/>
    </font>
    <font>
      <sz val="6"/>
      <name val="ＭＳ Ｐゴシック"/>
      <family val="3"/>
      <charset val="128"/>
    </font>
  </fonts>
  <fills count="26">
    <fill>
      <patternFill patternType="none"/>
    </fill>
    <fill>
      <patternFill patternType="gray125"/>
    </fill>
    <fill>
      <patternFill patternType="solid">
        <fgColor rgb="FFDDEBF7"/>
        <bgColor rgb="FFD8E8FF"/>
      </patternFill>
    </fill>
    <fill>
      <patternFill patternType="solid">
        <fgColor rgb="FFE2EFDA"/>
        <bgColor rgb="FFD9EAD3"/>
      </patternFill>
    </fill>
    <fill>
      <patternFill patternType="solid">
        <fgColor rgb="FF1F4E78"/>
        <bgColor rgb="FF003366"/>
      </patternFill>
    </fill>
    <fill>
      <patternFill patternType="solid">
        <fgColor rgb="FFFFF2CC"/>
        <bgColor rgb="FFFFE9D8"/>
      </patternFill>
    </fill>
    <fill>
      <patternFill patternType="solid">
        <fgColor rgb="FFFCE4D6"/>
        <bgColor rgb="FFFFE9D8"/>
      </patternFill>
    </fill>
    <fill>
      <patternFill patternType="solid">
        <fgColor rgb="FFEAD1DC"/>
        <bgColor rgb="FFEBD8FF"/>
      </patternFill>
    </fill>
    <fill>
      <patternFill patternType="solid">
        <fgColor rgb="FF2E75B6"/>
        <bgColor rgb="FF0563C1"/>
      </patternFill>
    </fill>
    <fill>
      <patternFill patternType="solid">
        <fgColor rgb="FFF1FFD8"/>
        <bgColor rgb="FFFFFBD8"/>
      </patternFill>
    </fill>
    <fill>
      <patternFill patternType="solid">
        <fgColor rgb="FFE0FFD8"/>
        <bgColor rgb="FFD8FFE2"/>
      </patternFill>
    </fill>
    <fill>
      <patternFill patternType="solid">
        <fgColor rgb="FFD8FFE2"/>
        <bgColor rgb="FFE0FFD8"/>
      </patternFill>
    </fill>
    <fill>
      <patternFill patternType="solid">
        <fgColor rgb="FFD8F9FF"/>
        <bgColor rgb="FFD8FFE2"/>
      </patternFill>
    </fill>
    <fill>
      <patternFill patternType="solid">
        <fgColor rgb="FFD8E8FF"/>
        <bgColor rgb="FFDDEBF7"/>
      </patternFill>
    </fill>
    <fill>
      <patternFill patternType="solid">
        <fgColor rgb="FFFFD8D8"/>
        <bgColor rgb="FFFCE4D6"/>
      </patternFill>
    </fill>
    <fill>
      <patternFill patternType="solid">
        <fgColor rgb="FFFFE9D8"/>
        <bgColor rgb="FFFCE4D6"/>
      </patternFill>
    </fill>
    <fill>
      <patternFill patternType="solid">
        <fgColor rgb="FFFFFBD8"/>
        <bgColor rgb="FFFFF2CC"/>
      </patternFill>
    </fill>
    <fill>
      <patternFill patternType="solid">
        <fgColor rgb="FFDAD8FF"/>
        <bgColor rgb="FFEBD8FF"/>
      </patternFill>
    </fill>
    <fill>
      <patternFill patternType="solid">
        <fgColor rgb="FFEBD8FF"/>
        <bgColor rgb="FFDAD8FF"/>
      </patternFill>
    </fill>
    <fill>
      <patternFill patternType="solid">
        <fgColor rgb="FFFDD8FF"/>
        <bgColor rgb="FFEBD8FF"/>
      </patternFill>
    </fill>
    <fill>
      <patternFill patternType="solid">
        <fgColor rgb="FFFF8080"/>
        <bgColor rgb="FFBFBFBF"/>
      </patternFill>
    </fill>
    <fill>
      <patternFill patternType="solid">
        <fgColor rgb="FFFFCCCC"/>
        <bgColor rgb="FFFFD8D8"/>
      </patternFill>
    </fill>
    <fill>
      <patternFill patternType="solid">
        <fgColor rgb="FFFFE699"/>
        <bgColor rgb="FFFFF2CC"/>
      </patternFill>
    </fill>
    <fill>
      <patternFill patternType="solid">
        <fgColor rgb="FFC6E0B4"/>
        <bgColor rgb="FFD9EAD3"/>
      </patternFill>
    </fill>
    <fill>
      <patternFill patternType="solid">
        <fgColor rgb="FFBDD7EE"/>
        <bgColor rgb="FFDAD8FF"/>
      </patternFill>
    </fill>
    <fill>
      <patternFill patternType="solid">
        <fgColor rgb="FFFFD966"/>
        <bgColor rgb="FFFFE699"/>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91">
    <xf numFmtId="0" fontId="0" fillId="0" borderId="0" xfId="0"/>
    <xf numFmtId="0" fontId="5" fillId="0" borderId="1" xfId="0" applyFont="1" applyBorder="1" applyAlignment="1">
      <alignment vertical="center"/>
    </xf>
    <xf numFmtId="0" fontId="9" fillId="4" borderId="1" xfId="0" applyFont="1" applyFill="1" applyBorder="1" applyAlignment="1">
      <alignment horizontal="center"/>
    </xf>
    <xf numFmtId="0" fontId="6" fillId="0" borderId="1" xfId="0" applyFont="1" applyBorder="1" applyAlignment="1">
      <alignment vertical="center" wrapText="1"/>
    </xf>
    <xf numFmtId="0" fontId="5" fillId="0" borderId="1" xfId="0" applyFont="1" applyBorder="1" applyAlignment="1">
      <alignment vertical="center" wrapText="1"/>
    </xf>
    <xf numFmtId="0" fontId="3" fillId="0" borderId="0" xfId="0" applyFont="1" applyAlignment="1">
      <alignment horizontal="center"/>
    </xf>
    <xf numFmtId="0" fontId="1" fillId="0" borderId="0" xfId="0" applyFont="1" applyAlignment="1">
      <alignment horizontal="center" vertical="center"/>
    </xf>
    <xf numFmtId="0" fontId="4" fillId="2" borderId="1" xfId="0" applyFont="1" applyFill="1" applyBorder="1" applyAlignment="1">
      <alignment vertical="center"/>
    </xf>
    <xf numFmtId="0" fontId="8" fillId="0" borderId="0" xfId="0" applyFont="1"/>
    <xf numFmtId="0" fontId="4" fillId="3" borderId="1" xfId="0" applyFont="1" applyFill="1" applyBorder="1"/>
    <xf numFmtId="0" fontId="9" fillId="4" borderId="1" xfId="0" applyFont="1" applyFill="1" applyBorder="1" applyAlignment="1">
      <alignment horizontal="center"/>
    </xf>
    <xf numFmtId="0" fontId="10" fillId="0" borderId="1" xfId="0" applyFont="1" applyBorder="1" applyAlignment="1">
      <alignment horizontal="center" vertical="center"/>
    </xf>
    <xf numFmtId="0" fontId="4" fillId="0" borderId="1" xfId="0" applyFont="1" applyBorder="1" applyAlignment="1">
      <alignment vertical="center"/>
    </xf>
    <xf numFmtId="0" fontId="1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0" borderId="1" xfId="0" applyFont="1" applyBorder="1" applyAlignment="1">
      <alignment vertical="top" wrapText="1"/>
    </xf>
    <xf numFmtId="0" fontId="5" fillId="5" borderId="1" xfId="0" applyFont="1" applyFill="1" applyBorder="1" applyAlignment="1">
      <alignment vertical="top" wrapText="1"/>
    </xf>
    <xf numFmtId="0" fontId="5" fillId="0" borderId="1" xfId="0" applyFont="1" applyBorder="1" applyAlignment="1">
      <alignment vertical="top" wrapText="1"/>
    </xf>
    <xf numFmtId="0" fontId="19" fillId="0" borderId="1" xfId="0" applyFont="1" applyBorder="1" applyAlignment="1">
      <alignment vertical="top" wrapText="1"/>
    </xf>
    <xf numFmtId="0" fontId="5" fillId="3" borderId="1" xfId="0" applyFont="1" applyFill="1" applyBorder="1" applyAlignment="1">
      <alignment vertical="top" wrapText="1"/>
    </xf>
    <xf numFmtId="0" fontId="5" fillId="6" borderId="1" xfId="0" applyFont="1" applyFill="1" applyBorder="1" applyAlignment="1">
      <alignment vertical="top" wrapText="1"/>
    </xf>
    <xf numFmtId="0" fontId="6" fillId="2" borderId="1" xfId="0" applyFont="1" applyFill="1" applyBorder="1" applyAlignment="1">
      <alignment vertical="top" wrapText="1"/>
    </xf>
    <xf numFmtId="0" fontId="5" fillId="7" borderId="1" xfId="0" applyFont="1" applyFill="1" applyBorder="1" applyAlignment="1">
      <alignment vertical="top" wrapText="1"/>
    </xf>
    <xf numFmtId="0" fontId="5" fillId="2" borderId="1" xfId="0" applyFont="1" applyFill="1" applyBorder="1" applyAlignment="1">
      <alignment vertical="top" wrapText="1"/>
    </xf>
    <xf numFmtId="0" fontId="6" fillId="5" borderId="1" xfId="0" applyFont="1" applyFill="1" applyBorder="1" applyAlignment="1">
      <alignment vertical="top" wrapText="1"/>
    </xf>
    <xf numFmtId="0" fontId="20" fillId="0" borderId="1" xfId="0" applyFont="1" applyBorder="1" applyAlignment="1">
      <alignment vertical="top" wrapText="1"/>
    </xf>
    <xf numFmtId="0" fontId="9" fillId="4" borderId="0" xfId="0" applyFont="1" applyFill="1"/>
    <xf numFmtId="0" fontId="4" fillId="0" borderId="1" xfId="0" applyFont="1" applyBorder="1"/>
    <xf numFmtId="0" fontId="0" fillId="0" borderId="1" xfId="0" applyBorder="1" applyAlignment="1">
      <alignment horizontal="center"/>
    </xf>
    <xf numFmtId="0" fontId="21" fillId="0" borderId="0" xfId="0" applyFont="1"/>
    <xf numFmtId="0" fontId="9" fillId="4" borderId="1" xfId="0" applyFont="1" applyFill="1" applyBorder="1" applyAlignment="1">
      <alignment horizontal="center" vertical="center"/>
    </xf>
    <xf numFmtId="0" fontId="6" fillId="0" borderId="1" xfId="0" applyFont="1" applyBorder="1" applyAlignment="1">
      <alignment horizontal="center" vertical="center"/>
    </xf>
    <xf numFmtId="0" fontId="4" fillId="9" borderId="1" xfId="0" applyFont="1" applyFill="1" applyBorder="1" applyAlignment="1">
      <alignment vertical="top" wrapText="1"/>
    </xf>
    <xf numFmtId="0" fontId="25" fillId="9" borderId="1" xfId="0" applyFont="1" applyFill="1" applyBorder="1" applyAlignment="1">
      <alignment vertical="top" wrapText="1"/>
    </xf>
    <xf numFmtId="0" fontId="25" fillId="10" borderId="1" xfId="0" applyFont="1" applyFill="1" applyBorder="1" applyAlignment="1">
      <alignment vertical="top" wrapText="1"/>
    </xf>
    <xf numFmtId="0" fontId="25" fillId="11" borderId="1" xfId="0" applyFont="1" applyFill="1" applyBorder="1" applyAlignment="1">
      <alignment vertical="top" wrapText="1"/>
    </xf>
    <xf numFmtId="0" fontId="25" fillId="12" borderId="1" xfId="0" applyFont="1" applyFill="1" applyBorder="1" applyAlignment="1">
      <alignment vertical="top" wrapText="1"/>
    </xf>
    <xf numFmtId="0" fontId="25" fillId="13" borderId="1" xfId="0" applyFont="1" applyFill="1" applyBorder="1" applyAlignment="1">
      <alignment vertical="top" wrapText="1"/>
    </xf>
    <xf numFmtId="0" fontId="25" fillId="14" borderId="1" xfId="0" applyFont="1" applyFill="1" applyBorder="1" applyAlignment="1">
      <alignment vertical="top" wrapText="1"/>
    </xf>
    <xf numFmtId="0" fontId="25" fillId="15" borderId="1" xfId="0" applyFont="1" applyFill="1" applyBorder="1" applyAlignment="1">
      <alignment vertical="top" wrapText="1"/>
    </xf>
    <xf numFmtId="0" fontId="25" fillId="16" borderId="1" xfId="0" applyFont="1" applyFill="1" applyBorder="1" applyAlignment="1">
      <alignment vertical="top" wrapText="1"/>
    </xf>
    <xf numFmtId="0" fontId="25" fillId="17" borderId="1" xfId="0" applyFont="1" applyFill="1" applyBorder="1" applyAlignment="1">
      <alignment vertical="top" wrapText="1"/>
    </xf>
    <xf numFmtId="0" fontId="25" fillId="18" borderId="1" xfId="0" applyFont="1" applyFill="1" applyBorder="1" applyAlignment="1">
      <alignment vertical="top" wrapText="1"/>
    </xf>
    <xf numFmtId="0" fontId="25" fillId="19" borderId="1" xfId="0" applyFont="1" applyFill="1" applyBorder="1" applyAlignment="1">
      <alignment vertical="top" wrapText="1"/>
    </xf>
    <xf numFmtId="0" fontId="5" fillId="6" borderId="1" xfId="0" applyFont="1" applyFill="1" applyBorder="1" applyAlignment="1">
      <alignment vertical="center" wrapText="1"/>
    </xf>
    <xf numFmtId="0" fontId="27" fillId="0" borderId="0" xfId="0" applyFont="1" applyAlignment="1">
      <alignment vertical="center" wrapText="1"/>
    </xf>
    <xf numFmtId="0" fontId="17" fillId="4" borderId="1" xfId="0" applyFont="1" applyFill="1" applyBorder="1" applyAlignment="1">
      <alignment horizontal="center" vertical="center"/>
    </xf>
    <xf numFmtId="0" fontId="8" fillId="22" borderId="2" xfId="0" applyFont="1" applyFill="1" applyBorder="1" applyAlignment="1">
      <alignment horizontal="left" vertical="center"/>
    </xf>
    <xf numFmtId="0" fontId="0" fillId="0" borderId="3" xfId="0" applyBorder="1"/>
    <xf numFmtId="0" fontId="8" fillId="23" borderId="2" xfId="0" applyFont="1" applyFill="1" applyBorder="1" applyAlignment="1">
      <alignment horizontal="left" vertical="center"/>
    </xf>
    <xf numFmtId="0" fontId="8" fillId="24" borderId="2" xfId="0" applyFont="1" applyFill="1" applyBorder="1" applyAlignment="1">
      <alignment horizontal="left" vertical="center"/>
    </xf>
    <xf numFmtId="0" fontId="0" fillId="0" borderId="4" xfId="0" applyBorder="1"/>
    <xf numFmtId="0" fontId="13" fillId="25" borderId="1" xfId="0" applyFont="1" applyFill="1" applyBorder="1" applyAlignment="1">
      <alignment horizontal="center" vertical="center"/>
    </xf>
    <xf numFmtId="0" fontId="32" fillId="0" borderId="1" xfId="0" applyFont="1" applyBorder="1" applyAlignment="1">
      <alignment vertical="top" wrapText="1"/>
    </xf>
    <xf numFmtId="0" fontId="4" fillId="3" borderId="1" xfId="0" applyFont="1" applyFill="1" applyBorder="1" applyAlignment="1">
      <alignment vertical="top" wrapText="1"/>
    </xf>
    <xf numFmtId="0" fontId="4" fillId="5" borderId="1" xfId="0" applyFont="1" applyFill="1" applyBorder="1" applyAlignment="1">
      <alignment vertical="top" wrapText="1"/>
    </xf>
    <xf numFmtId="0" fontId="4" fillId="0" borderId="1" xfId="0" applyFont="1" applyBorder="1" applyAlignment="1">
      <alignment vertical="top" wrapText="1"/>
    </xf>
    <xf numFmtId="0" fontId="5" fillId="5" borderId="2" xfId="0" applyFont="1" applyFill="1" applyBorder="1" applyAlignment="1">
      <alignment vertical="center" wrapText="1"/>
    </xf>
    <xf numFmtId="0" fontId="14" fillId="0" borderId="0" xfId="0" applyFont="1" applyAlignment="1">
      <alignment horizontal="center" vertical="center"/>
    </xf>
    <xf numFmtId="0" fontId="16" fillId="0" borderId="0" xfId="0" applyFont="1" applyAlignment="1">
      <alignment horizontal="center"/>
    </xf>
    <xf numFmtId="0" fontId="9" fillId="4" borderId="0" xfId="0" applyFont="1" applyFill="1"/>
    <xf numFmtId="0" fontId="5" fillId="0" borderId="1" xfId="0" applyFont="1" applyBorder="1" applyAlignment="1">
      <alignment vertical="top" wrapText="1"/>
    </xf>
    <xf numFmtId="0" fontId="5" fillId="5" borderId="1" xfId="0" applyFont="1" applyFill="1" applyBorder="1" applyAlignment="1">
      <alignment vertical="center"/>
    </xf>
    <xf numFmtId="0" fontId="5" fillId="5" borderId="2" xfId="0" applyFont="1" applyFill="1" applyBorder="1" applyAlignment="1">
      <alignment vertical="center"/>
    </xf>
    <xf numFmtId="0" fontId="22" fillId="0" borderId="0" xfId="0" applyFont="1" applyAlignment="1">
      <alignment horizontal="center" vertical="center"/>
    </xf>
    <xf numFmtId="0" fontId="23" fillId="8" borderId="0" xfId="0" applyFont="1" applyFill="1" applyAlignment="1">
      <alignment horizontal="left" vertical="center"/>
    </xf>
    <xf numFmtId="0" fontId="24" fillId="5" borderId="1" xfId="0" applyFont="1" applyFill="1" applyBorder="1" applyAlignment="1">
      <alignment horizontal="center" vertical="center"/>
    </xf>
    <xf numFmtId="0" fontId="24" fillId="0" borderId="0" xfId="0" applyFont="1" applyAlignment="1">
      <alignment vertical="center"/>
    </xf>
    <xf numFmtId="0" fontId="8" fillId="20" borderId="2" xfId="0" applyFont="1" applyFill="1" applyBorder="1" applyAlignment="1">
      <alignment horizontal="left" vertical="center"/>
    </xf>
    <xf numFmtId="0" fontId="8" fillId="21" borderId="2" xfId="0" applyFont="1" applyFill="1" applyBorder="1" applyAlignment="1">
      <alignment horizontal="left" vertical="center"/>
    </xf>
    <xf numFmtId="0" fontId="0" fillId="0" borderId="0" xfId="0"/>
    <xf numFmtId="0" fontId="28" fillId="0" borderId="0" xfId="0" applyFont="1" applyAlignment="1">
      <alignment horizontal="center" wrapText="1"/>
    </xf>
    <xf numFmtId="0" fontId="8" fillId="2" borderId="2" xfId="0" applyFont="1" applyFill="1" applyBorder="1" applyAlignment="1">
      <alignment horizontal="left" vertical="center"/>
    </xf>
    <xf numFmtId="0" fontId="6" fillId="0" borderId="2" xfId="0" applyFont="1" applyBorder="1" applyAlignment="1">
      <alignment vertical="top" wrapText="1"/>
    </xf>
    <xf numFmtId="0" fontId="30" fillId="0" borderId="0" xfId="0" applyFont="1" applyAlignment="1">
      <alignment vertical="center" wrapText="1"/>
    </xf>
    <xf numFmtId="0" fontId="16" fillId="0" borderId="0" xfId="0" applyFont="1" applyAlignment="1">
      <alignment horizontal="center" wrapText="1"/>
    </xf>
    <xf numFmtId="0" fontId="11" fillId="5" borderId="2" xfId="0" applyFont="1" applyFill="1" applyBorder="1" applyAlignment="1">
      <alignment vertical="center"/>
    </xf>
    <xf numFmtId="0" fontId="5" fillId="0" borderId="2" xfId="0" applyFont="1" applyBorder="1" applyAlignment="1">
      <alignment vertical="top" wrapText="1"/>
    </xf>
    <xf numFmtId="0" fontId="8" fillId="2" borderId="2" xfId="0" applyFont="1" applyFill="1" applyBorder="1" applyAlignment="1">
      <alignment vertical="center"/>
    </xf>
    <xf numFmtId="0" fontId="8" fillId="2" borderId="2" xfId="0" applyFont="1" applyFill="1" applyBorder="1"/>
    <xf numFmtId="0" fontId="6" fillId="0" borderId="2" xfId="0" applyFont="1" applyBorder="1" applyAlignment="1">
      <alignment vertical="center" wrapText="1"/>
    </xf>
    <xf numFmtId="0" fontId="13" fillId="6" borderId="2" xfId="0" applyFont="1" applyFill="1" applyBorder="1"/>
    <xf numFmtId="0" fontId="8" fillId="3" borderId="2" xfId="0" applyFont="1" applyFill="1" applyBorder="1"/>
    <xf numFmtId="0" fontId="9" fillId="4" borderId="2" xfId="0" applyFont="1" applyFill="1" applyBorder="1" applyAlignment="1">
      <alignment horizontal="center" vertical="center"/>
    </xf>
    <xf numFmtId="0" fontId="8" fillId="7" borderId="2" xfId="0" applyFont="1" applyFill="1" applyBorder="1"/>
    <xf numFmtId="0" fontId="19" fillId="0" borderId="2" xfId="0" applyFont="1" applyBorder="1" applyAlignment="1">
      <alignment vertical="center" wrapText="1"/>
    </xf>
    <xf numFmtId="0" fontId="20" fillId="0" borderId="2" xfId="0" applyFont="1" applyBorder="1" applyAlignment="1">
      <alignment vertical="top" wrapText="1"/>
    </xf>
    <xf numFmtId="0" fontId="8" fillId="5" borderId="2" xfId="0" applyFont="1" applyFill="1" applyBorder="1"/>
    <xf numFmtId="0" fontId="6" fillId="0" borderId="1" xfId="0" applyFont="1" applyBorder="1" applyAlignment="1">
      <alignment vertical="top" wrapText="1"/>
    </xf>
    <xf numFmtId="0" fontId="5" fillId="5" borderId="2" xfId="0" applyFont="1" applyFill="1" applyBorder="1" applyAlignment="1">
      <alignment vertical="top" wrapText="1"/>
    </xf>
    <xf numFmtId="0" fontId="11" fillId="6" borderId="2" xfId="0" applyFont="1" applyFill="1" applyBorder="1"/>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2CC"/>
      <rgbColor rgb="FFFF00FF"/>
      <rgbColor rgb="FFFFE9D8"/>
      <rgbColor rgb="FF800000"/>
      <rgbColor rgb="FF008000"/>
      <rgbColor rgb="FF000080"/>
      <rgbColor rgb="FFFDD8FF"/>
      <rgbColor rgb="FF800080"/>
      <rgbColor rgb="FF008080"/>
      <rgbColor rgb="FFBFBFBF"/>
      <rgbColor rgb="FF808080"/>
      <rgbColor rgb="FFD8E8FF"/>
      <rgbColor rgb="FF993366"/>
      <rgbColor rgb="FFFFFBD8"/>
      <rgbColor rgb="FFD8F9FF"/>
      <rgbColor rgb="FF660066"/>
      <rgbColor rgb="FFFF8080"/>
      <rgbColor rgb="FF0563C1"/>
      <rgbColor rgb="FFDAD8FF"/>
      <rgbColor rgb="FF000080"/>
      <rgbColor rgb="FFFF00FF"/>
      <rgbColor rgb="FFF1FFD8"/>
      <rgbColor rgb="FF00FFFF"/>
      <rgbColor rgb="FF800080"/>
      <rgbColor rgb="FF800000"/>
      <rgbColor rgb="FF008080"/>
      <rgbColor rgb="FF0000FF"/>
      <rgbColor rgb="FF00CCFF"/>
      <rgbColor rgb="FFE0FFD8"/>
      <rgbColor rgb="FFD8FFE2"/>
      <rgbColor rgb="FFFFE699"/>
      <rgbColor rgb="FFBDD7EE"/>
      <rgbColor rgb="FFEAD1DC"/>
      <rgbColor rgb="FFEBD8FF"/>
      <rgbColor rgb="FFFFCCCC"/>
      <rgbColor rgb="FF2E75B6"/>
      <rgbColor rgb="FFDDEBF7"/>
      <rgbColor rgb="FFD9EAD3"/>
      <rgbColor rgb="FFFFD966"/>
      <rgbColor rgb="FFFFD8D8"/>
      <rgbColor rgb="FFFCE4D6"/>
      <rgbColor rgb="FF595959"/>
      <rgbColor rgb="FFC6E0B4"/>
      <rgbColor rgb="FF003366"/>
      <rgbColor rgb="FFE2EFDA"/>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zoomScaleNormal="100" workbookViewId="0">
      <selection activeCell="M32" sqref="M32"/>
    </sheetView>
  </sheetViews>
  <sheetFormatPr defaultColWidth="8.7109375" defaultRowHeight="15"/>
  <cols>
    <col min="1" max="6" width="18" customWidth="1"/>
  </cols>
  <sheetData>
    <row r="1" spans="1:6" ht="34.5" customHeight="1">
      <c r="A1" s="6" t="s">
        <v>0</v>
      </c>
      <c r="B1" s="6"/>
      <c r="C1" s="6"/>
      <c r="D1" s="6"/>
      <c r="E1" s="6"/>
      <c r="F1" s="6"/>
    </row>
    <row r="2" spans="1:6" ht="18.75" customHeight="1">
      <c r="A2" s="5" t="s">
        <v>1</v>
      </c>
      <c r="B2" s="5"/>
      <c r="C2" s="5"/>
      <c r="D2" s="5"/>
      <c r="E2" s="5"/>
      <c r="F2" s="5"/>
    </row>
    <row r="4" spans="1:6" ht="24.75" customHeight="1">
      <c r="A4" s="7" t="s">
        <v>2</v>
      </c>
      <c r="B4" s="4" t="s">
        <v>3</v>
      </c>
      <c r="C4" s="4"/>
      <c r="D4" s="4"/>
      <c r="E4" s="4"/>
      <c r="F4" s="4"/>
    </row>
    <row r="5" spans="1:6" ht="24.75" customHeight="1">
      <c r="A5" s="7" t="s">
        <v>4</v>
      </c>
      <c r="B5" s="3" t="s">
        <v>5</v>
      </c>
      <c r="C5" s="3"/>
      <c r="D5" s="3"/>
      <c r="E5" s="3"/>
      <c r="F5" s="3"/>
    </row>
    <row r="6" spans="1:6" ht="24.75" customHeight="1">
      <c r="A6" s="7" t="s">
        <v>6</v>
      </c>
      <c r="B6" s="4" t="s">
        <v>7</v>
      </c>
      <c r="C6" s="4"/>
      <c r="D6" s="4"/>
      <c r="E6" s="4"/>
      <c r="F6" s="4"/>
    </row>
    <row r="7" spans="1:6" ht="24.75" customHeight="1">
      <c r="A7" s="7" t="s">
        <v>8</v>
      </c>
      <c r="B7" s="4" t="s">
        <v>9</v>
      </c>
      <c r="C7" s="4"/>
      <c r="D7" s="4"/>
      <c r="E7" s="4"/>
      <c r="F7" s="4"/>
    </row>
    <row r="8" spans="1:6" ht="24.75" customHeight="1">
      <c r="A8" s="7" t="s">
        <v>10</v>
      </c>
      <c r="B8" s="4" t="s">
        <v>11</v>
      </c>
      <c r="C8" s="4"/>
      <c r="D8" s="4"/>
      <c r="E8" s="4"/>
      <c r="F8" s="4"/>
    </row>
    <row r="9" spans="1:6" ht="24.75" customHeight="1">
      <c r="A9" s="7" t="s">
        <v>12</v>
      </c>
      <c r="B9" s="3" t="s">
        <v>13</v>
      </c>
      <c r="C9" s="3"/>
      <c r="D9" s="3"/>
      <c r="E9" s="3"/>
      <c r="F9" s="3"/>
    </row>
    <row r="10" spans="1:6" ht="24.75" customHeight="1">
      <c r="A10" s="7" t="s">
        <v>14</v>
      </c>
      <c r="B10" s="3" t="s">
        <v>15</v>
      </c>
      <c r="C10" s="3"/>
      <c r="D10" s="3"/>
      <c r="E10" s="3"/>
      <c r="F10" s="3"/>
    </row>
    <row r="11" spans="1:6" ht="24.75" customHeight="1">
      <c r="A11" s="7" t="s">
        <v>16</v>
      </c>
      <c r="B11" s="3" t="s">
        <v>17</v>
      </c>
      <c r="C11" s="3"/>
      <c r="D11" s="3"/>
      <c r="E11" s="3"/>
      <c r="F11" s="3"/>
    </row>
    <row r="12" spans="1:6" ht="24.75" customHeight="1">
      <c r="A12" s="7" t="s">
        <v>18</v>
      </c>
      <c r="B12" s="4" t="s">
        <v>19</v>
      </c>
      <c r="C12" s="4"/>
      <c r="D12" s="4"/>
      <c r="E12" s="4"/>
      <c r="F12" s="4"/>
    </row>
    <row r="14" spans="1:6" ht="15" customHeight="1">
      <c r="A14" s="8" t="s">
        <v>20</v>
      </c>
    </row>
    <row r="15" spans="1:6" ht="24.75" customHeight="1">
      <c r="A15" s="9" t="s">
        <v>21</v>
      </c>
      <c r="B15" s="4" t="s">
        <v>22</v>
      </c>
      <c r="C15" s="4"/>
      <c r="D15" s="4"/>
      <c r="E15" s="4"/>
      <c r="F15" s="4"/>
    </row>
    <row r="16" spans="1:6" ht="24.75" customHeight="1">
      <c r="A16" s="9" t="s">
        <v>23</v>
      </c>
      <c r="B16" s="3" t="s">
        <v>24</v>
      </c>
      <c r="C16" s="3"/>
      <c r="D16" s="3"/>
      <c r="E16" s="3"/>
      <c r="F16" s="3"/>
    </row>
    <row r="17" spans="1:6" ht="24.75" customHeight="1">
      <c r="A17" s="9" t="s">
        <v>25</v>
      </c>
      <c r="B17" s="3" t="s">
        <v>26</v>
      </c>
      <c r="C17" s="3"/>
      <c r="D17" s="3"/>
      <c r="E17" s="3"/>
      <c r="F17" s="3"/>
    </row>
    <row r="18" spans="1:6" ht="24.75" customHeight="1">
      <c r="A18" s="9" t="s">
        <v>27</v>
      </c>
      <c r="B18" s="3" t="s">
        <v>28</v>
      </c>
      <c r="C18" s="3"/>
      <c r="D18" s="3"/>
      <c r="E18" s="3"/>
      <c r="F18" s="3"/>
    </row>
    <row r="19" spans="1:6" ht="24.75" customHeight="1">
      <c r="A19" s="9" t="s">
        <v>29</v>
      </c>
      <c r="B19" s="4" t="s">
        <v>30</v>
      </c>
      <c r="C19" s="4"/>
      <c r="D19" s="4"/>
      <c r="E19" s="4"/>
      <c r="F19" s="4"/>
    </row>
    <row r="20" spans="1:6" ht="24.75" customHeight="1">
      <c r="A20" s="9" t="s">
        <v>31</v>
      </c>
      <c r="B20" s="4" t="s">
        <v>32</v>
      </c>
      <c r="C20" s="4"/>
      <c r="D20" s="4"/>
      <c r="E20" s="4"/>
      <c r="F20" s="4"/>
    </row>
    <row r="22" spans="1:6" ht="15" customHeight="1">
      <c r="A22" s="8" t="s">
        <v>33</v>
      </c>
    </row>
    <row r="23" spans="1:6" ht="15" customHeight="1">
      <c r="A23" s="10" t="s">
        <v>34</v>
      </c>
      <c r="B23" s="10" t="s">
        <v>35</v>
      </c>
      <c r="C23" s="2" t="s">
        <v>36</v>
      </c>
      <c r="D23" s="2"/>
      <c r="E23" s="2"/>
      <c r="F23" s="2"/>
    </row>
    <row r="24" spans="1:6" ht="15" customHeight="1">
      <c r="A24" s="11" t="s">
        <v>37</v>
      </c>
      <c r="B24" s="12" t="s">
        <v>38</v>
      </c>
      <c r="C24" s="1" t="s">
        <v>39</v>
      </c>
      <c r="D24" s="1"/>
      <c r="E24" s="1"/>
      <c r="F24" s="1"/>
    </row>
    <row r="25" spans="1:6" ht="15" customHeight="1">
      <c r="A25" s="11" t="s">
        <v>40</v>
      </c>
      <c r="B25" s="12" t="s">
        <v>41</v>
      </c>
      <c r="C25" s="1" t="s">
        <v>42</v>
      </c>
      <c r="D25" s="1"/>
      <c r="E25" s="1"/>
      <c r="F25" s="1"/>
    </row>
    <row r="26" spans="1:6" ht="15" customHeight="1">
      <c r="A26" s="11" t="s">
        <v>43</v>
      </c>
      <c r="B26" s="12" t="s">
        <v>44</v>
      </c>
      <c r="C26" s="1" t="s">
        <v>45</v>
      </c>
      <c r="D26" s="1"/>
      <c r="E26" s="1"/>
      <c r="F26" s="1"/>
    </row>
    <row r="27" spans="1:6" ht="15" customHeight="1">
      <c r="A27" s="11" t="s">
        <v>46</v>
      </c>
      <c r="B27" s="12" t="s">
        <v>47</v>
      </c>
      <c r="C27" s="1" t="s">
        <v>48</v>
      </c>
      <c r="D27" s="1"/>
      <c r="E27" s="1"/>
      <c r="F27" s="1"/>
    </row>
    <row r="28" spans="1:6" ht="15" customHeight="1">
      <c r="A28" s="11" t="s">
        <v>49</v>
      </c>
      <c r="B28" s="12" t="s">
        <v>50</v>
      </c>
      <c r="C28" s="1" t="s">
        <v>51</v>
      </c>
      <c r="D28" s="1"/>
      <c r="E28" s="1"/>
      <c r="F28" s="1"/>
    </row>
  </sheetData>
  <mergeCells count="23">
    <mergeCell ref="C24:F24"/>
    <mergeCell ref="C25:F25"/>
    <mergeCell ref="C26:F26"/>
    <mergeCell ref="C27:F27"/>
    <mergeCell ref="C28:F28"/>
    <mergeCell ref="B11:F11"/>
    <mergeCell ref="B12:F12"/>
    <mergeCell ref="B15:F15"/>
    <mergeCell ref="B16:F16"/>
    <mergeCell ref="B17:F17"/>
    <mergeCell ref="B18:F18"/>
    <mergeCell ref="B19:F19"/>
    <mergeCell ref="B20:F20"/>
    <mergeCell ref="C23:F23"/>
    <mergeCell ref="A1:F1"/>
    <mergeCell ref="A2:F2"/>
    <mergeCell ref="B4:F4"/>
    <mergeCell ref="B5:F5"/>
    <mergeCell ref="B6:F6"/>
    <mergeCell ref="B7:F7"/>
    <mergeCell ref="B8:F8"/>
    <mergeCell ref="B9:F9"/>
    <mergeCell ref="B10:F10"/>
  </mergeCells>
  <phoneticPr fontId="33"/>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1"/>
  <sheetViews>
    <sheetView zoomScaleNormal="100" workbookViewId="0">
      <pane xSplit="6" ySplit="4" topLeftCell="G5" activePane="bottomRight" state="frozen"/>
      <selection pane="topRight" activeCell="G1" sqref="G1"/>
      <selection pane="bottomLeft" activeCell="A5" sqref="A5"/>
      <selection pane="bottomRight" sqref="A1:S1"/>
    </sheetView>
  </sheetViews>
  <sheetFormatPr defaultColWidth="8.7109375" defaultRowHeight="15"/>
  <cols>
    <col min="1" max="1" width="5" customWidth="1"/>
    <col min="2" max="2" width="13" customWidth="1"/>
    <col min="3" max="3" width="17" customWidth="1"/>
    <col min="4" max="4" width="38" customWidth="1"/>
    <col min="5" max="5" width="50" customWidth="1"/>
    <col min="6" max="6" width="38" customWidth="1"/>
    <col min="7" max="7" width="22" customWidth="1"/>
    <col min="8" max="8" width="14" customWidth="1"/>
    <col min="9" max="9" width="18" customWidth="1"/>
    <col min="10" max="11" width="22" customWidth="1"/>
    <col min="12" max="12" width="17" customWidth="1"/>
    <col min="13" max="13" width="18" customWidth="1"/>
    <col min="14" max="14" width="22" customWidth="1"/>
    <col min="15" max="16" width="35" customWidth="1"/>
    <col min="17" max="17" width="12" customWidth="1"/>
    <col min="18" max="18" width="8" customWidth="1"/>
    <col min="19" max="19" width="12" customWidth="1"/>
    <col min="20" max="20" width="22" customWidth="1"/>
    <col min="21" max="21" width="16" customWidth="1"/>
  </cols>
  <sheetData>
    <row r="1" spans="1:21" ht="21" customHeight="1">
      <c r="A1" s="58" t="s">
        <v>52</v>
      </c>
      <c r="B1" s="58"/>
      <c r="C1" s="58"/>
      <c r="D1" s="58"/>
      <c r="E1" s="58"/>
      <c r="F1" s="58"/>
      <c r="G1" s="58"/>
      <c r="H1" s="58"/>
      <c r="I1" s="58"/>
      <c r="J1" s="58"/>
      <c r="K1" s="58"/>
      <c r="L1" s="58"/>
      <c r="M1" s="58"/>
      <c r="N1" s="58"/>
      <c r="O1" s="58"/>
      <c r="P1" s="58"/>
      <c r="Q1" s="58"/>
      <c r="R1" s="58"/>
      <c r="S1" s="58"/>
    </row>
    <row r="2" spans="1:21" ht="15" customHeight="1">
      <c r="A2" s="59" t="s">
        <v>53</v>
      </c>
      <c r="B2" s="59"/>
      <c r="C2" s="59"/>
      <c r="D2" s="59"/>
      <c r="E2" s="59"/>
      <c r="F2" s="59"/>
      <c r="G2" s="59"/>
      <c r="H2" s="59"/>
      <c r="I2" s="59"/>
      <c r="J2" s="59"/>
      <c r="K2" s="59"/>
      <c r="L2" s="59"/>
      <c r="M2" s="59"/>
      <c r="N2" s="59"/>
      <c r="O2" s="59"/>
      <c r="P2" s="59"/>
      <c r="Q2" s="59"/>
      <c r="R2" s="59"/>
      <c r="S2" s="59"/>
    </row>
    <row r="4" spans="1:21" ht="30" customHeight="1">
      <c r="A4" s="13" t="s">
        <v>54</v>
      </c>
      <c r="B4" s="14" t="s">
        <v>55</v>
      </c>
      <c r="C4" s="14" t="s">
        <v>56</v>
      </c>
      <c r="D4" s="14" t="s">
        <v>57</v>
      </c>
      <c r="E4" s="14" t="s">
        <v>58</v>
      </c>
      <c r="F4" s="14" t="s">
        <v>59</v>
      </c>
      <c r="G4" s="14" t="s">
        <v>60</v>
      </c>
      <c r="H4" s="14" t="s">
        <v>6</v>
      </c>
      <c r="I4" s="14" t="s">
        <v>61</v>
      </c>
      <c r="J4" s="14" t="s">
        <v>62</v>
      </c>
      <c r="K4" s="14" t="s">
        <v>63</v>
      </c>
      <c r="L4" s="14" t="s">
        <v>64</v>
      </c>
      <c r="M4" s="14" t="s">
        <v>65</v>
      </c>
      <c r="N4" s="14" t="s">
        <v>66</v>
      </c>
      <c r="O4" s="14" t="s">
        <v>67</v>
      </c>
      <c r="P4" s="13" t="s">
        <v>68</v>
      </c>
      <c r="Q4" s="14" t="s">
        <v>69</v>
      </c>
      <c r="R4" s="14" t="s">
        <v>70</v>
      </c>
      <c r="S4" s="14" t="s">
        <v>71</v>
      </c>
      <c r="T4" s="14" t="s">
        <v>72</v>
      </c>
      <c r="U4" s="14" t="s">
        <v>73</v>
      </c>
    </row>
    <row r="5" spans="1:21" ht="60" customHeight="1">
      <c r="A5" s="15">
        <v>1</v>
      </c>
      <c r="B5" s="16" t="s">
        <v>74</v>
      </c>
      <c r="C5" s="17" t="s">
        <v>75</v>
      </c>
      <c r="D5" s="17" t="s">
        <v>76</v>
      </c>
      <c r="E5" s="15" t="s">
        <v>77</v>
      </c>
      <c r="F5" s="18" t="str">
        <f>HYPERLINK("https://shoryokuka.smrj.go.jp/catalog/","中小企業省力化投資補助金（カタログ注文型）")</f>
        <v>中小企業省力化投資補助金（カタログ注文型）</v>
      </c>
      <c r="G5" s="17" t="s">
        <v>78</v>
      </c>
      <c r="H5" s="17" t="s">
        <v>79</v>
      </c>
      <c r="I5" s="17" t="s">
        <v>80</v>
      </c>
      <c r="J5" s="17" t="s">
        <v>81</v>
      </c>
      <c r="K5" s="17" t="s">
        <v>82</v>
      </c>
      <c r="L5" s="17" t="s">
        <v>83</v>
      </c>
      <c r="M5" s="17" t="s">
        <v>84</v>
      </c>
      <c r="N5" s="17" t="s">
        <v>85</v>
      </c>
      <c r="O5" s="17" t="s">
        <v>86</v>
      </c>
      <c r="P5" s="17" t="s">
        <v>87</v>
      </c>
      <c r="Q5" s="15" t="s">
        <v>88</v>
      </c>
      <c r="R5" s="17" t="s">
        <v>89</v>
      </c>
      <c r="S5" s="15" t="s">
        <v>90</v>
      </c>
      <c r="T5" s="17" t="s">
        <v>91</v>
      </c>
      <c r="U5" s="19" t="s">
        <v>92</v>
      </c>
    </row>
    <row r="6" spans="1:21" ht="60" customHeight="1">
      <c r="A6" s="15">
        <v>2</v>
      </c>
      <c r="B6" s="16" t="s">
        <v>74</v>
      </c>
      <c r="C6" s="17" t="s">
        <v>75</v>
      </c>
      <c r="D6" s="17" t="s">
        <v>93</v>
      </c>
      <c r="E6" s="15" t="s">
        <v>94</v>
      </c>
      <c r="F6" s="18" t="str">
        <f>HYPERLINK("https://shoryokuka.smrj.go.jp/ippan/schedule/","中小企業省力化投資補助金（一般型）第6回")</f>
        <v>中小企業省力化投資補助金（一般型）第6回</v>
      </c>
      <c r="G6" s="17" t="s">
        <v>78</v>
      </c>
      <c r="H6" s="17" t="s">
        <v>79</v>
      </c>
      <c r="I6" s="17" t="s">
        <v>80</v>
      </c>
      <c r="J6" s="17" t="s">
        <v>95</v>
      </c>
      <c r="K6" s="17" t="s">
        <v>96</v>
      </c>
      <c r="L6" s="17" t="s">
        <v>97</v>
      </c>
      <c r="M6" s="17" t="s">
        <v>98</v>
      </c>
      <c r="N6" s="17" t="s">
        <v>99</v>
      </c>
      <c r="O6" s="17" t="s">
        <v>100</v>
      </c>
      <c r="P6" s="17" t="s">
        <v>101</v>
      </c>
      <c r="Q6" s="15" t="s">
        <v>88</v>
      </c>
      <c r="R6" s="17" t="s">
        <v>102</v>
      </c>
      <c r="S6" s="15" t="s">
        <v>90</v>
      </c>
      <c r="T6" s="17" t="s">
        <v>103</v>
      </c>
      <c r="U6" s="20" t="s">
        <v>104</v>
      </c>
    </row>
    <row r="7" spans="1:21" ht="60" customHeight="1">
      <c r="A7" s="15">
        <v>3</v>
      </c>
      <c r="B7" s="16" t="s">
        <v>74</v>
      </c>
      <c r="C7" s="17" t="s">
        <v>75</v>
      </c>
      <c r="D7" s="17" t="s">
        <v>105</v>
      </c>
      <c r="E7" s="15" t="s">
        <v>106</v>
      </c>
      <c r="F7" s="18" t="str">
        <f>HYPERLINK("https://seichotoushi-hojo.jp/","中堅・中小成長投資補助金")</f>
        <v>中堅・中小成長投資補助金</v>
      </c>
      <c r="G7" s="17" t="s">
        <v>107</v>
      </c>
      <c r="H7" s="17" t="s">
        <v>79</v>
      </c>
      <c r="I7" s="17" t="s">
        <v>80</v>
      </c>
      <c r="J7" s="17" t="s">
        <v>108</v>
      </c>
      <c r="K7" s="17" t="s">
        <v>109</v>
      </c>
      <c r="L7" s="15" t="s">
        <v>110</v>
      </c>
      <c r="M7" s="17" t="s">
        <v>111</v>
      </c>
      <c r="N7" s="17" t="s">
        <v>112</v>
      </c>
      <c r="O7" s="17" t="s">
        <v>113</v>
      </c>
      <c r="P7" s="17" t="s">
        <v>114</v>
      </c>
      <c r="Q7" s="15" t="s">
        <v>46</v>
      </c>
      <c r="R7" s="17" t="s">
        <v>115</v>
      </c>
      <c r="S7" s="15" t="s">
        <v>90</v>
      </c>
      <c r="T7" s="17" t="s">
        <v>116</v>
      </c>
      <c r="U7" s="20" t="s">
        <v>104</v>
      </c>
    </row>
    <row r="8" spans="1:21" ht="60" customHeight="1">
      <c r="A8" s="15">
        <v>4</v>
      </c>
      <c r="B8" s="16" t="s">
        <v>74</v>
      </c>
      <c r="C8" s="17" t="s">
        <v>117</v>
      </c>
      <c r="D8" s="15" t="s">
        <v>118</v>
      </c>
      <c r="E8" s="15" t="s">
        <v>119</v>
      </c>
      <c r="F8" s="18" t="str">
        <f>HYPERLINK("https://www.jetro.go.jp/services/japan_brand/","JAPANブランド育成支援等事業")</f>
        <v>JAPANブランド育成支援等事業</v>
      </c>
      <c r="G8" s="15" t="s">
        <v>120</v>
      </c>
      <c r="H8" s="17" t="s">
        <v>79</v>
      </c>
      <c r="I8" s="17" t="s">
        <v>80</v>
      </c>
      <c r="J8" s="17" t="s">
        <v>121</v>
      </c>
      <c r="K8" s="17" t="s">
        <v>122</v>
      </c>
      <c r="L8" s="15" t="s">
        <v>123</v>
      </c>
      <c r="M8" s="15" t="s">
        <v>124</v>
      </c>
      <c r="N8" s="15" t="s">
        <v>124</v>
      </c>
      <c r="O8" s="17" t="s">
        <v>125</v>
      </c>
      <c r="P8" s="17" t="s">
        <v>126</v>
      </c>
      <c r="Q8" s="15" t="s">
        <v>127</v>
      </c>
      <c r="R8" s="17" t="s">
        <v>115</v>
      </c>
      <c r="S8" s="15" t="s">
        <v>90</v>
      </c>
      <c r="T8" s="17" t="s">
        <v>128</v>
      </c>
      <c r="U8" s="16" t="s">
        <v>129</v>
      </c>
    </row>
    <row r="9" spans="1:21" ht="60" customHeight="1">
      <c r="A9" s="15">
        <v>5</v>
      </c>
      <c r="B9" s="19" t="s">
        <v>130</v>
      </c>
      <c r="C9" s="17" t="s">
        <v>131</v>
      </c>
      <c r="D9" s="17" t="s">
        <v>132</v>
      </c>
      <c r="E9" s="15" t="s">
        <v>133</v>
      </c>
      <c r="F9" s="18" t="str">
        <f>HYPERLINK("https://www.mhlw.go.jp/stf/seisakunitsuite/bunya/0000202622.html","特定求職者雇用開発助成金（特定就職困難者コース）")</f>
        <v>特定求職者雇用開発助成金（特定就職困難者コース）</v>
      </c>
      <c r="G9" s="17" t="s">
        <v>134</v>
      </c>
      <c r="H9" s="17" t="s">
        <v>79</v>
      </c>
      <c r="I9" s="17" t="s">
        <v>80</v>
      </c>
      <c r="J9" s="17" t="s">
        <v>135</v>
      </c>
      <c r="K9" s="15" t="s">
        <v>136</v>
      </c>
      <c r="L9" s="17" t="s">
        <v>137</v>
      </c>
      <c r="M9" s="17" t="s">
        <v>138</v>
      </c>
      <c r="N9" s="17" t="s">
        <v>138</v>
      </c>
      <c r="O9" s="17" t="s">
        <v>139</v>
      </c>
      <c r="P9" s="17" t="s">
        <v>140</v>
      </c>
      <c r="Q9" s="15" t="s">
        <v>88</v>
      </c>
      <c r="R9" s="17" t="s">
        <v>102</v>
      </c>
      <c r="S9" s="15" t="s">
        <v>90</v>
      </c>
      <c r="T9" s="17" t="s">
        <v>141</v>
      </c>
      <c r="U9" s="19" t="s">
        <v>138</v>
      </c>
    </row>
    <row r="10" spans="1:21" ht="60" customHeight="1">
      <c r="A10" s="15">
        <v>6</v>
      </c>
      <c r="B10" s="19" t="s">
        <v>130</v>
      </c>
      <c r="C10" s="17" t="s">
        <v>131</v>
      </c>
      <c r="D10" s="17" t="s">
        <v>142</v>
      </c>
      <c r="E10" s="15" t="s">
        <v>133</v>
      </c>
      <c r="F10" s="18" t="str">
        <f>HYPERLINK("https://www.mhlw.go.jp/stf/seisakunitsuite/bunya/0000202622.html","特定求職者雇用開発助成金（中高年層安定雇用支援コース）")</f>
        <v>特定求職者雇用開発助成金（中高年層安定雇用支援コース）</v>
      </c>
      <c r="G10" s="17" t="s">
        <v>134</v>
      </c>
      <c r="H10" s="17" t="s">
        <v>79</v>
      </c>
      <c r="I10" s="17" t="s">
        <v>80</v>
      </c>
      <c r="J10" s="17" t="s">
        <v>135</v>
      </c>
      <c r="K10" s="15" t="s">
        <v>143</v>
      </c>
      <c r="L10" s="17" t="s">
        <v>137</v>
      </c>
      <c r="M10" s="17" t="s">
        <v>138</v>
      </c>
      <c r="N10" s="17" t="s">
        <v>138</v>
      </c>
      <c r="O10" s="17" t="s">
        <v>144</v>
      </c>
      <c r="P10" s="17" t="s">
        <v>145</v>
      </c>
      <c r="Q10" s="15" t="s">
        <v>88</v>
      </c>
      <c r="R10" s="17" t="s">
        <v>102</v>
      </c>
      <c r="S10" s="15" t="s">
        <v>90</v>
      </c>
      <c r="T10" s="17" t="s">
        <v>141</v>
      </c>
      <c r="U10" s="19" t="s">
        <v>138</v>
      </c>
    </row>
    <row r="11" spans="1:21" ht="60" customHeight="1">
      <c r="A11" s="15">
        <v>7</v>
      </c>
      <c r="B11" s="19" t="s">
        <v>130</v>
      </c>
      <c r="C11" s="17" t="s">
        <v>131</v>
      </c>
      <c r="D11" s="17" t="s">
        <v>146</v>
      </c>
      <c r="E11" s="15" t="s">
        <v>147</v>
      </c>
      <c r="F11" s="18" t="str">
        <f>HYPERLINK("https://www.mhlw.go.jp/stf/seisakunitsuite/bunya/0000059415.html","トライアル雇用助成金（一般トライアルコース）")</f>
        <v>トライアル雇用助成金（一般トライアルコース）</v>
      </c>
      <c r="G11" s="17" t="s">
        <v>134</v>
      </c>
      <c r="H11" s="17" t="s">
        <v>79</v>
      </c>
      <c r="I11" s="17" t="s">
        <v>80</v>
      </c>
      <c r="J11" s="17" t="s">
        <v>148</v>
      </c>
      <c r="K11" s="17" t="s">
        <v>149</v>
      </c>
      <c r="L11" s="17" t="s">
        <v>137</v>
      </c>
      <c r="M11" s="17" t="s">
        <v>138</v>
      </c>
      <c r="N11" s="17" t="s">
        <v>138</v>
      </c>
      <c r="O11" s="17" t="s">
        <v>150</v>
      </c>
      <c r="P11" s="17" t="s">
        <v>151</v>
      </c>
      <c r="Q11" s="15" t="s">
        <v>152</v>
      </c>
      <c r="R11" s="17" t="s">
        <v>89</v>
      </c>
      <c r="S11" s="15" t="s">
        <v>90</v>
      </c>
      <c r="T11" s="17" t="s">
        <v>153</v>
      </c>
      <c r="U11" s="19" t="s">
        <v>138</v>
      </c>
    </row>
    <row r="12" spans="1:21" ht="60" customHeight="1">
      <c r="A12" s="15">
        <v>8</v>
      </c>
      <c r="B12" s="19" t="s">
        <v>130</v>
      </c>
      <c r="C12" s="17" t="s">
        <v>131</v>
      </c>
      <c r="D12" s="17" t="s">
        <v>154</v>
      </c>
      <c r="E12" s="15" t="s">
        <v>155</v>
      </c>
      <c r="F12" s="18" t="str">
        <f>HYPERLINK("https://www.mhlw.go.jp/stf/seisakunitsuite/bunya/koyou_roudou/koyou/kensetsu-kouwan/kensetsu-kaizen.html","建設労働者確保育成助成金（若年・女性建設労働者トライアルコース）")</f>
        <v>建設労働者確保育成助成金（若年・女性建設労働者トライアルコース）</v>
      </c>
      <c r="G12" s="17" t="s">
        <v>134</v>
      </c>
      <c r="H12" s="17" t="s">
        <v>79</v>
      </c>
      <c r="I12" s="17" t="s">
        <v>156</v>
      </c>
      <c r="J12" s="17" t="s">
        <v>157</v>
      </c>
      <c r="K12" s="17" t="s">
        <v>158</v>
      </c>
      <c r="L12" s="17" t="s">
        <v>137</v>
      </c>
      <c r="M12" s="17" t="s">
        <v>138</v>
      </c>
      <c r="N12" s="17" t="s">
        <v>138</v>
      </c>
      <c r="O12" s="17" t="s">
        <v>159</v>
      </c>
      <c r="P12" s="17" t="s">
        <v>160</v>
      </c>
      <c r="Q12" s="15" t="s">
        <v>88</v>
      </c>
      <c r="R12" s="17" t="s">
        <v>89</v>
      </c>
      <c r="S12" s="15" t="s">
        <v>90</v>
      </c>
      <c r="T12" s="17" t="s">
        <v>153</v>
      </c>
      <c r="U12" s="19" t="s">
        <v>138</v>
      </c>
    </row>
    <row r="13" spans="1:21" ht="60" customHeight="1">
      <c r="A13" s="15">
        <v>9</v>
      </c>
      <c r="B13" s="19" t="s">
        <v>130</v>
      </c>
      <c r="C13" s="17" t="s">
        <v>131</v>
      </c>
      <c r="D13" s="17" t="s">
        <v>161</v>
      </c>
      <c r="E13" s="15" t="s">
        <v>162</v>
      </c>
      <c r="F13" s="18" t="str">
        <f>HYPERLINK("https://www.mhlw.go.jp/stf/seisakunitsuite/bunya/koyou_roudou/koyou/kyufukin/pageL07.html","雇用調整助成金")</f>
        <v>雇用調整助成金</v>
      </c>
      <c r="G13" s="17" t="s">
        <v>134</v>
      </c>
      <c r="H13" s="17" t="s">
        <v>79</v>
      </c>
      <c r="I13" s="17" t="s">
        <v>80</v>
      </c>
      <c r="J13" s="17" t="s">
        <v>135</v>
      </c>
      <c r="K13" s="17" t="s">
        <v>163</v>
      </c>
      <c r="L13" s="15" t="s">
        <v>164</v>
      </c>
      <c r="M13" s="17" t="s">
        <v>138</v>
      </c>
      <c r="N13" s="17" t="s">
        <v>138</v>
      </c>
      <c r="O13" s="17" t="s">
        <v>165</v>
      </c>
      <c r="P13" s="17" t="s">
        <v>166</v>
      </c>
      <c r="Q13" s="15" t="s">
        <v>88</v>
      </c>
      <c r="R13" s="17" t="s">
        <v>102</v>
      </c>
      <c r="S13" s="15" t="s">
        <v>90</v>
      </c>
      <c r="T13" s="17" t="s">
        <v>167</v>
      </c>
      <c r="U13" s="19" t="s">
        <v>138</v>
      </c>
    </row>
    <row r="14" spans="1:21" ht="60" customHeight="1">
      <c r="A14" s="15">
        <v>10</v>
      </c>
      <c r="B14" s="19" t="s">
        <v>130</v>
      </c>
      <c r="C14" s="17" t="s">
        <v>131</v>
      </c>
      <c r="D14" s="15" t="s">
        <v>168</v>
      </c>
      <c r="E14" s="15" t="s">
        <v>169</v>
      </c>
      <c r="F14" s="18" t="str">
        <f>HYPERLINK("https://www.jeed.go.jp/elderly/employer/josei/employer05.html","65歳超雇用推進助成金（高年齢者無期雇用転換コース）")</f>
        <v>65歳超雇用推進助成金（高年齢者無期雇用転換コース）</v>
      </c>
      <c r="G14" s="15" t="s">
        <v>170</v>
      </c>
      <c r="H14" s="17" t="s">
        <v>79</v>
      </c>
      <c r="I14" s="17" t="s">
        <v>80</v>
      </c>
      <c r="J14" s="17" t="s">
        <v>135</v>
      </c>
      <c r="K14" s="17" t="s">
        <v>171</v>
      </c>
      <c r="L14" s="17" t="s">
        <v>172</v>
      </c>
      <c r="M14" s="17" t="s">
        <v>138</v>
      </c>
      <c r="N14" s="17" t="s">
        <v>138</v>
      </c>
      <c r="O14" s="15" t="s">
        <v>173</v>
      </c>
      <c r="P14" s="17" t="s">
        <v>174</v>
      </c>
      <c r="Q14" s="15" t="s">
        <v>88</v>
      </c>
      <c r="R14" s="17" t="s">
        <v>102</v>
      </c>
      <c r="S14" s="15" t="s">
        <v>90</v>
      </c>
      <c r="T14" s="17" t="s">
        <v>175</v>
      </c>
      <c r="U14" s="19" t="s">
        <v>138</v>
      </c>
    </row>
    <row r="15" spans="1:21" ht="60" customHeight="1">
      <c r="A15" s="15">
        <v>11</v>
      </c>
      <c r="B15" s="19" t="s">
        <v>130</v>
      </c>
      <c r="C15" s="17" t="s">
        <v>176</v>
      </c>
      <c r="D15" s="17" t="s">
        <v>177</v>
      </c>
      <c r="E15" s="15" t="s">
        <v>178</v>
      </c>
      <c r="F15" s="18" t="str">
        <f>HYPERLINK("https://www.mhlw.go.jp/stf/seisakunitsuite/bunya/0000211293.html","人材開発支援助成金（人材育成支援コース）")</f>
        <v>人材開発支援助成金（人材育成支援コース）</v>
      </c>
      <c r="G15" s="17" t="s">
        <v>134</v>
      </c>
      <c r="H15" s="17" t="s">
        <v>79</v>
      </c>
      <c r="I15" s="17" t="s">
        <v>80</v>
      </c>
      <c r="J15" s="17" t="s">
        <v>135</v>
      </c>
      <c r="K15" s="17" t="s">
        <v>179</v>
      </c>
      <c r="L15" s="15" t="s">
        <v>180</v>
      </c>
      <c r="M15" s="17" t="s">
        <v>138</v>
      </c>
      <c r="N15" s="17" t="s">
        <v>138</v>
      </c>
      <c r="O15" s="17" t="s">
        <v>181</v>
      </c>
      <c r="P15" s="17" t="s">
        <v>182</v>
      </c>
      <c r="Q15" s="15" t="s">
        <v>88</v>
      </c>
      <c r="R15" s="17" t="s">
        <v>102</v>
      </c>
      <c r="S15" s="15" t="s">
        <v>90</v>
      </c>
      <c r="T15" s="17" t="s">
        <v>183</v>
      </c>
      <c r="U15" s="19" t="s">
        <v>138</v>
      </c>
    </row>
    <row r="16" spans="1:21" ht="60" customHeight="1">
      <c r="A16" s="15">
        <v>12</v>
      </c>
      <c r="B16" s="19" t="s">
        <v>130</v>
      </c>
      <c r="C16" s="17" t="s">
        <v>176</v>
      </c>
      <c r="D16" s="17" t="s">
        <v>184</v>
      </c>
      <c r="E16" s="15" t="s">
        <v>178</v>
      </c>
      <c r="F16" s="18" t="str">
        <f>HYPERLINK("https://www.mhlw.go.jp/stf/seisakunitsuite/bunya/0000211293.html","人材開発支援助成金（事業展開等リスキリング支援コース）")</f>
        <v>人材開発支援助成金（事業展開等リスキリング支援コース）</v>
      </c>
      <c r="G16" s="17" t="s">
        <v>134</v>
      </c>
      <c r="H16" s="17" t="s">
        <v>79</v>
      </c>
      <c r="I16" s="17" t="s">
        <v>80</v>
      </c>
      <c r="J16" s="17" t="s">
        <v>135</v>
      </c>
      <c r="K16" s="17" t="s">
        <v>185</v>
      </c>
      <c r="L16" s="15" t="s">
        <v>180</v>
      </c>
      <c r="M16" s="17" t="s">
        <v>138</v>
      </c>
      <c r="N16" s="17" t="s">
        <v>138</v>
      </c>
      <c r="O16" s="17" t="s">
        <v>186</v>
      </c>
      <c r="P16" s="15" t="s">
        <v>187</v>
      </c>
      <c r="Q16" s="15" t="s">
        <v>88</v>
      </c>
      <c r="R16" s="17" t="s">
        <v>102</v>
      </c>
      <c r="S16" s="15" t="s">
        <v>90</v>
      </c>
      <c r="T16" s="17" t="s">
        <v>183</v>
      </c>
      <c r="U16" s="19" t="s">
        <v>138</v>
      </c>
    </row>
    <row r="17" spans="1:21" ht="60" customHeight="1">
      <c r="A17" s="15">
        <v>13</v>
      </c>
      <c r="B17" s="19" t="s">
        <v>130</v>
      </c>
      <c r="C17" s="17" t="s">
        <v>176</v>
      </c>
      <c r="D17" s="17" t="s">
        <v>188</v>
      </c>
      <c r="E17" s="15" t="s">
        <v>178</v>
      </c>
      <c r="F17" s="18" t="str">
        <f>HYPERLINK("https://www.mhlw.go.jp/stf/seisakunitsuite/bunya/0000211293.html","人材開発支援助成金（人への投資促進コース：R8最終年度）")</f>
        <v>人材開発支援助成金（人への投資促進コース：R8最終年度）</v>
      </c>
      <c r="G17" s="17" t="s">
        <v>134</v>
      </c>
      <c r="H17" s="17" t="s">
        <v>79</v>
      </c>
      <c r="I17" s="17" t="s">
        <v>80</v>
      </c>
      <c r="J17" s="17" t="s">
        <v>135</v>
      </c>
      <c r="K17" s="17" t="s">
        <v>189</v>
      </c>
      <c r="L17" s="15" t="s">
        <v>180</v>
      </c>
      <c r="M17" s="17" t="s">
        <v>138</v>
      </c>
      <c r="N17" s="17" t="s">
        <v>138</v>
      </c>
      <c r="O17" s="17" t="s">
        <v>190</v>
      </c>
      <c r="P17" s="17" t="s">
        <v>191</v>
      </c>
      <c r="Q17" s="15" t="s">
        <v>127</v>
      </c>
      <c r="R17" s="17" t="s">
        <v>102</v>
      </c>
      <c r="S17" s="15" t="s">
        <v>90</v>
      </c>
      <c r="T17" s="17" t="s">
        <v>192</v>
      </c>
      <c r="U17" s="19" t="s">
        <v>193</v>
      </c>
    </row>
    <row r="18" spans="1:21" ht="60" customHeight="1">
      <c r="A18" s="15">
        <v>14</v>
      </c>
      <c r="B18" s="19" t="s">
        <v>130</v>
      </c>
      <c r="C18" s="17" t="s">
        <v>176</v>
      </c>
      <c r="D18" s="17" t="s">
        <v>194</v>
      </c>
      <c r="E18" s="15" t="s">
        <v>155</v>
      </c>
      <c r="F18" s="18" t="str">
        <f>HYPERLINK("https://www.mhlw.go.jp/stf/seisakunitsuite/bunya/koyou_roudou/koyou/kensetsu-kouwan/kensetsu-kaizen.html","人材開発支援助成金（建設労働者認定訓練コース）")</f>
        <v>人材開発支援助成金（建設労働者認定訓練コース）</v>
      </c>
      <c r="G18" s="17" t="s">
        <v>134</v>
      </c>
      <c r="H18" s="17" t="s">
        <v>79</v>
      </c>
      <c r="I18" s="17" t="s">
        <v>156</v>
      </c>
      <c r="J18" s="17" t="s">
        <v>157</v>
      </c>
      <c r="K18" s="17" t="s">
        <v>195</v>
      </c>
      <c r="L18" s="17" t="s">
        <v>137</v>
      </c>
      <c r="M18" s="17" t="s">
        <v>138</v>
      </c>
      <c r="N18" s="17" t="s">
        <v>138</v>
      </c>
      <c r="O18" s="17" t="s">
        <v>196</v>
      </c>
      <c r="P18" s="17" t="s">
        <v>197</v>
      </c>
      <c r="Q18" s="15" t="s">
        <v>88</v>
      </c>
      <c r="R18" s="17" t="s">
        <v>102</v>
      </c>
      <c r="S18" s="15" t="s">
        <v>198</v>
      </c>
      <c r="T18" s="17" t="s">
        <v>199</v>
      </c>
      <c r="U18" s="19" t="s">
        <v>200</v>
      </c>
    </row>
    <row r="19" spans="1:21" ht="60" customHeight="1">
      <c r="A19" s="15">
        <v>15</v>
      </c>
      <c r="B19" s="19" t="s">
        <v>130</v>
      </c>
      <c r="C19" s="17" t="s">
        <v>176</v>
      </c>
      <c r="D19" s="17" t="s">
        <v>201</v>
      </c>
      <c r="E19" s="15" t="s">
        <v>155</v>
      </c>
      <c r="F19" s="18" t="str">
        <f>HYPERLINK("https://www.mhlw.go.jp/stf/seisakunitsuite/bunya/koyou_roudou/koyou/kensetsu-kouwan/kensetsu-kaizen.html","人材開発支援助成金（建設労働者技能実習コース）")</f>
        <v>人材開発支援助成金（建設労働者技能実習コース）</v>
      </c>
      <c r="G19" s="17" t="s">
        <v>134</v>
      </c>
      <c r="H19" s="17" t="s">
        <v>79</v>
      </c>
      <c r="I19" s="17" t="s">
        <v>156</v>
      </c>
      <c r="J19" s="17" t="s">
        <v>157</v>
      </c>
      <c r="K19" s="17" t="s">
        <v>202</v>
      </c>
      <c r="L19" s="15" t="s">
        <v>203</v>
      </c>
      <c r="M19" s="17" t="s">
        <v>138</v>
      </c>
      <c r="N19" s="17" t="s">
        <v>138</v>
      </c>
      <c r="O19" s="17" t="s">
        <v>204</v>
      </c>
      <c r="P19" s="17" t="s">
        <v>205</v>
      </c>
      <c r="Q19" s="15" t="s">
        <v>88</v>
      </c>
      <c r="R19" s="17" t="s">
        <v>102</v>
      </c>
      <c r="S19" s="15" t="s">
        <v>198</v>
      </c>
      <c r="T19" s="17" t="s">
        <v>199</v>
      </c>
      <c r="U19" s="19" t="s">
        <v>200</v>
      </c>
    </row>
    <row r="20" spans="1:21" ht="60" customHeight="1">
      <c r="A20" s="15">
        <v>16</v>
      </c>
      <c r="B20" s="19" t="s">
        <v>130</v>
      </c>
      <c r="C20" s="17" t="s">
        <v>176</v>
      </c>
      <c r="D20" s="17" t="s">
        <v>206</v>
      </c>
      <c r="E20" s="15" t="s">
        <v>207</v>
      </c>
      <c r="F20" s="18" t="str">
        <f>HYPERLINK("https://www.mhlw.go.jp/stf/seisakunitsuite/bunya/koyou_roudou/jinzaikaihatsu/index_00040.html","教育訓練給付制度（事業主活用）")</f>
        <v>教育訓練給付制度（事業主活用）</v>
      </c>
      <c r="G20" s="17" t="s">
        <v>134</v>
      </c>
      <c r="H20" s="17" t="s">
        <v>79</v>
      </c>
      <c r="I20" s="17" t="s">
        <v>80</v>
      </c>
      <c r="J20" s="17" t="s">
        <v>208</v>
      </c>
      <c r="K20" s="17" t="s">
        <v>209</v>
      </c>
      <c r="L20" s="15" t="s">
        <v>210</v>
      </c>
      <c r="M20" s="17" t="s">
        <v>138</v>
      </c>
      <c r="N20" s="17" t="s">
        <v>138</v>
      </c>
      <c r="O20" s="17" t="s">
        <v>211</v>
      </c>
      <c r="P20" s="17" t="s">
        <v>212</v>
      </c>
      <c r="Q20" s="15" t="s">
        <v>213</v>
      </c>
      <c r="R20" s="17" t="s">
        <v>89</v>
      </c>
      <c r="S20" s="15" t="s">
        <v>90</v>
      </c>
      <c r="T20" s="17" t="s">
        <v>214</v>
      </c>
      <c r="U20" s="19" t="s">
        <v>138</v>
      </c>
    </row>
    <row r="21" spans="1:21" ht="60" customHeight="1">
      <c r="A21" s="15">
        <v>17</v>
      </c>
      <c r="B21" s="19" t="s">
        <v>130</v>
      </c>
      <c r="C21" s="17" t="s">
        <v>215</v>
      </c>
      <c r="D21" s="17" t="s">
        <v>216</v>
      </c>
      <c r="E21" s="15" t="s">
        <v>217</v>
      </c>
      <c r="F21" s="18" t="str">
        <f>HYPERLINK("https://www.mhlw.go.jp/stf/seisakunitsuite/bunya/koyou_roudou/part_haken/jigyounushi/career.html","キャリアアップ助成金（正社員化コース）")</f>
        <v>キャリアアップ助成金（正社員化コース）</v>
      </c>
      <c r="G21" s="17" t="s">
        <v>134</v>
      </c>
      <c r="H21" s="17" t="s">
        <v>79</v>
      </c>
      <c r="I21" s="17" t="s">
        <v>80</v>
      </c>
      <c r="J21" s="17" t="s">
        <v>135</v>
      </c>
      <c r="K21" s="17" t="s">
        <v>218</v>
      </c>
      <c r="L21" s="17" t="s">
        <v>219</v>
      </c>
      <c r="M21" s="17" t="s">
        <v>138</v>
      </c>
      <c r="N21" s="17" t="s">
        <v>138</v>
      </c>
      <c r="O21" s="17" t="s">
        <v>220</v>
      </c>
      <c r="P21" s="17" t="s">
        <v>221</v>
      </c>
      <c r="Q21" s="15" t="s">
        <v>222</v>
      </c>
      <c r="R21" s="17" t="s">
        <v>102</v>
      </c>
      <c r="S21" s="15" t="s">
        <v>90</v>
      </c>
      <c r="T21" s="17" t="s">
        <v>223</v>
      </c>
      <c r="U21" s="19" t="s">
        <v>138</v>
      </c>
    </row>
    <row r="22" spans="1:21" ht="60" customHeight="1">
      <c r="A22" s="15">
        <v>18</v>
      </c>
      <c r="B22" s="19" t="s">
        <v>130</v>
      </c>
      <c r="C22" s="17" t="s">
        <v>215</v>
      </c>
      <c r="D22" s="17" t="s">
        <v>224</v>
      </c>
      <c r="E22" s="15" t="s">
        <v>217</v>
      </c>
      <c r="F22" s="18" t="str">
        <f>HYPERLINK("https://www.mhlw.go.jp/stf/seisakunitsuite/bunya/koyou_roudou/part_haken/jigyounushi/career.html","キャリアアップ助成金（賃金規定等改定コース）")</f>
        <v>キャリアアップ助成金（賃金規定等改定コース）</v>
      </c>
      <c r="G22" s="17" t="s">
        <v>134</v>
      </c>
      <c r="H22" s="17" t="s">
        <v>79</v>
      </c>
      <c r="I22" s="17" t="s">
        <v>80</v>
      </c>
      <c r="J22" s="17" t="s">
        <v>135</v>
      </c>
      <c r="K22" s="17" t="s">
        <v>225</v>
      </c>
      <c r="L22" s="17" t="s">
        <v>137</v>
      </c>
      <c r="M22" s="17" t="s">
        <v>138</v>
      </c>
      <c r="N22" s="17" t="s">
        <v>138</v>
      </c>
      <c r="O22" s="17" t="s">
        <v>226</v>
      </c>
      <c r="P22" s="17" t="s">
        <v>227</v>
      </c>
      <c r="Q22" s="15" t="s">
        <v>222</v>
      </c>
      <c r="R22" s="17" t="s">
        <v>102</v>
      </c>
      <c r="S22" s="15" t="s">
        <v>90</v>
      </c>
      <c r="T22" s="17" t="s">
        <v>228</v>
      </c>
      <c r="U22" s="19" t="s">
        <v>138</v>
      </c>
    </row>
    <row r="23" spans="1:21" ht="60" customHeight="1">
      <c r="A23" s="15">
        <v>19</v>
      </c>
      <c r="B23" s="19" t="s">
        <v>130</v>
      </c>
      <c r="C23" s="17" t="s">
        <v>215</v>
      </c>
      <c r="D23" s="17" t="s">
        <v>229</v>
      </c>
      <c r="E23" s="15" t="s">
        <v>217</v>
      </c>
      <c r="F23" s="18" t="str">
        <f>HYPERLINK("https://www.mhlw.go.jp/stf/seisakunitsuite/bunya/koyou_roudou/part_haken/jigyounushi/career.html","キャリアアップ助成金（賞与・退職金制度導入コース）")</f>
        <v>キャリアアップ助成金（賞与・退職金制度導入コース）</v>
      </c>
      <c r="G23" s="17" t="s">
        <v>134</v>
      </c>
      <c r="H23" s="17" t="s">
        <v>79</v>
      </c>
      <c r="I23" s="17" t="s">
        <v>80</v>
      </c>
      <c r="J23" s="17" t="s">
        <v>135</v>
      </c>
      <c r="K23" s="15" t="s">
        <v>230</v>
      </c>
      <c r="L23" s="17" t="s">
        <v>137</v>
      </c>
      <c r="M23" s="17" t="s">
        <v>138</v>
      </c>
      <c r="N23" s="17" t="s">
        <v>138</v>
      </c>
      <c r="O23" s="17" t="s">
        <v>231</v>
      </c>
      <c r="P23" s="17" t="s">
        <v>232</v>
      </c>
      <c r="Q23" s="15" t="s">
        <v>222</v>
      </c>
      <c r="R23" s="17" t="s">
        <v>102</v>
      </c>
      <c r="S23" s="15" t="s">
        <v>90</v>
      </c>
      <c r="T23" s="17" t="s">
        <v>153</v>
      </c>
      <c r="U23" s="19" t="s">
        <v>138</v>
      </c>
    </row>
    <row r="24" spans="1:21" ht="60" customHeight="1">
      <c r="A24" s="15">
        <v>20</v>
      </c>
      <c r="B24" s="19" t="s">
        <v>130</v>
      </c>
      <c r="C24" s="17" t="s">
        <v>215</v>
      </c>
      <c r="D24" s="17" t="s">
        <v>233</v>
      </c>
      <c r="E24" s="15" t="s">
        <v>217</v>
      </c>
      <c r="F24" s="18" t="str">
        <f>HYPERLINK("https://www.mhlw.go.jp/stf/seisakunitsuite/bunya/koyou_roudou/part_haken/jigyounushi/career.html","キャリアアップ助成金（短時間労働者労働時間延長支援コース）")</f>
        <v>キャリアアップ助成金（短時間労働者労働時間延長支援コース）</v>
      </c>
      <c r="G24" s="17" t="s">
        <v>134</v>
      </c>
      <c r="H24" s="17" t="s">
        <v>79</v>
      </c>
      <c r="I24" s="17" t="s">
        <v>80</v>
      </c>
      <c r="J24" s="17" t="s">
        <v>135</v>
      </c>
      <c r="K24" s="17" t="s">
        <v>234</v>
      </c>
      <c r="L24" s="17" t="s">
        <v>137</v>
      </c>
      <c r="M24" s="17" t="s">
        <v>138</v>
      </c>
      <c r="N24" s="17" t="s">
        <v>138</v>
      </c>
      <c r="O24" s="17" t="s">
        <v>235</v>
      </c>
      <c r="P24" s="17" t="s">
        <v>236</v>
      </c>
      <c r="Q24" s="15" t="s">
        <v>222</v>
      </c>
      <c r="R24" s="17" t="s">
        <v>102</v>
      </c>
      <c r="S24" s="15" t="s">
        <v>90</v>
      </c>
      <c r="T24" s="17" t="s">
        <v>237</v>
      </c>
      <c r="U24" s="19" t="s">
        <v>138</v>
      </c>
    </row>
    <row r="25" spans="1:21" ht="60" customHeight="1">
      <c r="A25" s="15">
        <v>21</v>
      </c>
      <c r="B25" s="19" t="s">
        <v>130</v>
      </c>
      <c r="C25" s="17" t="s">
        <v>215</v>
      </c>
      <c r="D25" s="17" t="s">
        <v>238</v>
      </c>
      <c r="E25" s="15" t="s">
        <v>239</v>
      </c>
      <c r="F25" s="18" t="str">
        <f>HYPERLINK("https://www.mhlw.go.jp/stf/seisakunitsuite/bunya/koyou_roudou/roudoukijun/zigyonushi/shienjigyou/03.html","業務改善助成金（令和8年度）")</f>
        <v>業務改善助成金（令和8年度）</v>
      </c>
      <c r="G25" s="17" t="s">
        <v>134</v>
      </c>
      <c r="H25" s="17" t="s">
        <v>79</v>
      </c>
      <c r="I25" s="17" t="s">
        <v>80</v>
      </c>
      <c r="J25" s="17" t="s">
        <v>240</v>
      </c>
      <c r="K25" s="17" t="s">
        <v>241</v>
      </c>
      <c r="L25" s="15" t="s">
        <v>242</v>
      </c>
      <c r="M25" s="15" t="s">
        <v>243</v>
      </c>
      <c r="N25" s="15" t="s">
        <v>244</v>
      </c>
      <c r="O25" s="17" t="s">
        <v>245</v>
      </c>
      <c r="P25" s="17" t="s">
        <v>246</v>
      </c>
      <c r="Q25" s="15" t="s">
        <v>247</v>
      </c>
      <c r="R25" s="17" t="s">
        <v>102</v>
      </c>
      <c r="S25" s="15" t="s">
        <v>198</v>
      </c>
      <c r="T25" s="17" t="s">
        <v>248</v>
      </c>
      <c r="U25" s="16" t="s">
        <v>129</v>
      </c>
    </row>
    <row r="26" spans="1:21" ht="60" customHeight="1">
      <c r="A26" s="15">
        <v>22</v>
      </c>
      <c r="B26" s="19" t="s">
        <v>130</v>
      </c>
      <c r="C26" s="17" t="s">
        <v>215</v>
      </c>
      <c r="D26" s="17" t="s">
        <v>249</v>
      </c>
      <c r="E26" s="15" t="s">
        <v>250</v>
      </c>
      <c r="F26" s="18" t="str">
        <f>HYPERLINK("https://www.meti.go.jp/policy/economy/jinzai/syotokukakudaisokushin/syotokukakudai.html","賃上げ促進税制（中小企業向け）")</f>
        <v>賃上げ促進税制（中小企業向け）</v>
      </c>
      <c r="G26" s="17" t="s">
        <v>251</v>
      </c>
      <c r="H26" s="17" t="s">
        <v>79</v>
      </c>
      <c r="I26" s="17" t="s">
        <v>80</v>
      </c>
      <c r="J26" s="17" t="s">
        <v>252</v>
      </c>
      <c r="K26" s="17" t="s">
        <v>253</v>
      </c>
      <c r="L26" s="15" t="s">
        <v>254</v>
      </c>
      <c r="M26" s="17" t="s">
        <v>138</v>
      </c>
      <c r="N26" s="15" t="s">
        <v>255</v>
      </c>
      <c r="O26" s="17" t="s">
        <v>256</v>
      </c>
      <c r="P26" s="17" t="s">
        <v>257</v>
      </c>
      <c r="Q26" s="15" t="s">
        <v>88</v>
      </c>
      <c r="R26" s="17" t="s">
        <v>102</v>
      </c>
      <c r="S26" s="15" t="s">
        <v>198</v>
      </c>
      <c r="T26" s="17" t="s">
        <v>199</v>
      </c>
      <c r="U26" s="19" t="s">
        <v>200</v>
      </c>
    </row>
    <row r="27" spans="1:21" ht="60" customHeight="1">
      <c r="A27" s="15">
        <v>23</v>
      </c>
      <c r="B27" s="19" t="s">
        <v>130</v>
      </c>
      <c r="C27" s="17" t="s">
        <v>258</v>
      </c>
      <c r="D27" s="17" t="s">
        <v>259</v>
      </c>
      <c r="E27" s="15" t="s">
        <v>260</v>
      </c>
      <c r="F27" s="18" t="str">
        <f>HYPERLINK("https://www.mhlw.go.jp/stf/seisakunitsuite/bunya/kodomo/shokuba_kosodate/ryouritsu01/index.html","両立支援等助成金（出生時両立支援コース）")</f>
        <v>両立支援等助成金（出生時両立支援コース）</v>
      </c>
      <c r="G27" s="17" t="s">
        <v>134</v>
      </c>
      <c r="H27" s="17" t="s">
        <v>79</v>
      </c>
      <c r="I27" s="17" t="s">
        <v>80</v>
      </c>
      <c r="J27" s="17" t="s">
        <v>261</v>
      </c>
      <c r="K27" s="15" t="s">
        <v>262</v>
      </c>
      <c r="L27" s="17" t="s">
        <v>137</v>
      </c>
      <c r="M27" s="17" t="s">
        <v>138</v>
      </c>
      <c r="N27" s="17" t="s">
        <v>138</v>
      </c>
      <c r="O27" s="17" t="s">
        <v>263</v>
      </c>
      <c r="P27" s="17" t="s">
        <v>264</v>
      </c>
      <c r="Q27" s="15" t="s">
        <v>88</v>
      </c>
      <c r="R27" s="17" t="s">
        <v>102</v>
      </c>
      <c r="S27" s="15" t="s">
        <v>90</v>
      </c>
      <c r="T27" s="17" t="s">
        <v>153</v>
      </c>
      <c r="U27" s="19" t="s">
        <v>138</v>
      </c>
    </row>
    <row r="28" spans="1:21" ht="60" customHeight="1">
      <c r="A28" s="15">
        <v>24</v>
      </c>
      <c r="B28" s="19" t="s">
        <v>130</v>
      </c>
      <c r="C28" s="17" t="s">
        <v>258</v>
      </c>
      <c r="D28" s="17" t="s">
        <v>265</v>
      </c>
      <c r="E28" s="15" t="s">
        <v>260</v>
      </c>
      <c r="F28" s="18" t="str">
        <f>HYPERLINK("https://www.mhlw.go.jp/stf/seisakunitsuite/bunya/kodomo/shokuba_kosodate/ryouritsu01/index.html","両立支援等助成金（介護離職防止支援コース）")</f>
        <v>両立支援等助成金（介護離職防止支援コース）</v>
      </c>
      <c r="G28" s="17" t="s">
        <v>134</v>
      </c>
      <c r="H28" s="17" t="s">
        <v>79</v>
      </c>
      <c r="I28" s="17" t="s">
        <v>80</v>
      </c>
      <c r="J28" s="17" t="s">
        <v>148</v>
      </c>
      <c r="K28" s="17" t="s">
        <v>266</v>
      </c>
      <c r="L28" s="17" t="s">
        <v>137</v>
      </c>
      <c r="M28" s="17" t="s">
        <v>138</v>
      </c>
      <c r="N28" s="17" t="s">
        <v>138</v>
      </c>
      <c r="O28" s="17" t="s">
        <v>267</v>
      </c>
      <c r="P28" s="17" t="s">
        <v>268</v>
      </c>
      <c r="Q28" s="15" t="s">
        <v>88</v>
      </c>
      <c r="R28" s="17" t="s">
        <v>102</v>
      </c>
      <c r="S28" s="15" t="s">
        <v>90</v>
      </c>
      <c r="T28" s="17" t="s">
        <v>153</v>
      </c>
      <c r="U28" s="19" t="s">
        <v>138</v>
      </c>
    </row>
    <row r="29" spans="1:21" ht="60" customHeight="1">
      <c r="A29" s="15">
        <v>25</v>
      </c>
      <c r="B29" s="19" t="s">
        <v>130</v>
      </c>
      <c r="C29" s="17" t="s">
        <v>258</v>
      </c>
      <c r="D29" s="17" t="s">
        <v>269</v>
      </c>
      <c r="E29" s="15" t="s">
        <v>270</v>
      </c>
      <c r="F29" s="18" t="str">
        <f>HYPERLINK("https://jsite.mhlw.go.jp/tokyo-roudoukyoku/newpage_00335.html","両立支援等助成金（育児休業等支援コース）")</f>
        <v>両立支援等助成金（育児休業等支援コース）</v>
      </c>
      <c r="G29" s="17" t="s">
        <v>134</v>
      </c>
      <c r="H29" s="17" t="s">
        <v>79</v>
      </c>
      <c r="I29" s="17" t="s">
        <v>80</v>
      </c>
      <c r="J29" s="17" t="s">
        <v>148</v>
      </c>
      <c r="K29" s="15" t="s">
        <v>271</v>
      </c>
      <c r="L29" s="17" t="s">
        <v>137</v>
      </c>
      <c r="M29" s="17" t="s">
        <v>138</v>
      </c>
      <c r="N29" s="17" t="s">
        <v>138</v>
      </c>
      <c r="O29" s="17" t="s">
        <v>272</v>
      </c>
      <c r="P29" s="17" t="s">
        <v>273</v>
      </c>
      <c r="Q29" s="15" t="s">
        <v>88</v>
      </c>
      <c r="R29" s="17" t="s">
        <v>102</v>
      </c>
      <c r="S29" s="15" t="s">
        <v>90</v>
      </c>
      <c r="T29" s="17" t="s">
        <v>153</v>
      </c>
      <c r="U29" s="19" t="s">
        <v>138</v>
      </c>
    </row>
    <row r="30" spans="1:21" ht="60" customHeight="1">
      <c r="A30" s="15">
        <v>26</v>
      </c>
      <c r="B30" s="19" t="s">
        <v>130</v>
      </c>
      <c r="C30" s="17" t="s">
        <v>258</v>
      </c>
      <c r="D30" s="17" t="s">
        <v>274</v>
      </c>
      <c r="E30" s="15" t="s">
        <v>260</v>
      </c>
      <c r="F30" s="18" t="str">
        <f>HYPERLINK("https://www.mhlw.go.jp/stf/seisakunitsuite/bunya/kodomo/shokuba_kosodate/ryouritsu01/index.html","両立支援等助成金（育休中等業務代替支援コース）")</f>
        <v>両立支援等助成金（育休中等業務代替支援コース）</v>
      </c>
      <c r="G30" s="17" t="s">
        <v>134</v>
      </c>
      <c r="H30" s="17" t="s">
        <v>79</v>
      </c>
      <c r="I30" s="17" t="s">
        <v>80</v>
      </c>
      <c r="J30" s="17" t="s">
        <v>148</v>
      </c>
      <c r="K30" s="17" t="s">
        <v>275</v>
      </c>
      <c r="L30" s="17" t="s">
        <v>137</v>
      </c>
      <c r="M30" s="17" t="s">
        <v>138</v>
      </c>
      <c r="N30" s="17" t="s">
        <v>138</v>
      </c>
      <c r="O30" s="17" t="s">
        <v>276</v>
      </c>
      <c r="P30" s="17" t="s">
        <v>277</v>
      </c>
      <c r="Q30" s="15" t="s">
        <v>88</v>
      </c>
      <c r="R30" s="17" t="s">
        <v>102</v>
      </c>
      <c r="S30" s="15" t="s">
        <v>90</v>
      </c>
      <c r="T30" s="17" t="s">
        <v>153</v>
      </c>
      <c r="U30" s="19" t="s">
        <v>138</v>
      </c>
    </row>
    <row r="31" spans="1:21" ht="60" customHeight="1">
      <c r="A31" s="15">
        <v>27</v>
      </c>
      <c r="B31" s="19" t="s">
        <v>130</v>
      </c>
      <c r="C31" s="17" t="s">
        <v>258</v>
      </c>
      <c r="D31" s="17" t="s">
        <v>278</v>
      </c>
      <c r="E31" s="15" t="s">
        <v>260</v>
      </c>
      <c r="F31" s="18" t="str">
        <f>HYPERLINK("https://www.mhlw.go.jp/stf/seisakunitsuite/bunya/kodomo/shokuba_kosodate/ryouritsu01/index.html","両立支援等助成金（柔軟な働き方選択制度等支援コース）")</f>
        <v>両立支援等助成金（柔軟な働き方選択制度等支援コース）</v>
      </c>
      <c r="G31" s="17" t="s">
        <v>134</v>
      </c>
      <c r="H31" s="17" t="s">
        <v>79</v>
      </c>
      <c r="I31" s="17" t="s">
        <v>80</v>
      </c>
      <c r="J31" s="17" t="s">
        <v>148</v>
      </c>
      <c r="K31" s="15" t="s">
        <v>279</v>
      </c>
      <c r="L31" s="17" t="s">
        <v>137</v>
      </c>
      <c r="M31" s="17" t="s">
        <v>138</v>
      </c>
      <c r="N31" s="17" t="s">
        <v>138</v>
      </c>
      <c r="O31" s="17" t="s">
        <v>280</v>
      </c>
      <c r="P31" s="17" t="s">
        <v>281</v>
      </c>
      <c r="Q31" s="15" t="s">
        <v>88</v>
      </c>
      <c r="R31" s="17" t="s">
        <v>102</v>
      </c>
      <c r="S31" s="15" t="s">
        <v>90</v>
      </c>
      <c r="T31" s="17" t="s">
        <v>153</v>
      </c>
      <c r="U31" s="19" t="s">
        <v>138</v>
      </c>
    </row>
    <row r="32" spans="1:21" ht="60" customHeight="1">
      <c r="A32" s="15">
        <v>28</v>
      </c>
      <c r="B32" s="19" t="s">
        <v>130</v>
      </c>
      <c r="C32" s="17" t="s">
        <v>258</v>
      </c>
      <c r="D32" s="17" t="s">
        <v>282</v>
      </c>
      <c r="E32" s="15" t="s">
        <v>260</v>
      </c>
      <c r="F32" s="18" t="str">
        <f>HYPERLINK("https://www.mhlw.go.jp/stf/seisakunitsuite/bunya/kodomo/shokuba_kosodate/ryouritsu01/index.html","両立支援等助成金（不妊治療及び女性の健康課題対応両立支援コース）")</f>
        <v>両立支援等助成金（不妊治療及び女性の健康課題対応両立支援コース）</v>
      </c>
      <c r="G32" s="17" t="s">
        <v>134</v>
      </c>
      <c r="H32" s="17" t="s">
        <v>79</v>
      </c>
      <c r="I32" s="17" t="s">
        <v>80</v>
      </c>
      <c r="J32" s="17" t="s">
        <v>148</v>
      </c>
      <c r="K32" s="15" t="s">
        <v>283</v>
      </c>
      <c r="L32" s="17" t="s">
        <v>137</v>
      </c>
      <c r="M32" s="17" t="s">
        <v>138</v>
      </c>
      <c r="N32" s="17" t="s">
        <v>138</v>
      </c>
      <c r="O32" s="17" t="s">
        <v>284</v>
      </c>
      <c r="P32" s="17" t="s">
        <v>285</v>
      </c>
      <c r="Q32" s="15" t="s">
        <v>88</v>
      </c>
      <c r="R32" s="17" t="s">
        <v>102</v>
      </c>
      <c r="S32" s="15" t="s">
        <v>90</v>
      </c>
      <c r="T32" s="17" t="s">
        <v>153</v>
      </c>
      <c r="U32" s="19" t="s">
        <v>138</v>
      </c>
    </row>
    <row r="33" spans="1:21" ht="60" customHeight="1">
      <c r="A33" s="15">
        <v>29</v>
      </c>
      <c r="B33" s="19" t="s">
        <v>130</v>
      </c>
      <c r="C33" s="17" t="s">
        <v>258</v>
      </c>
      <c r="D33" s="17" t="s">
        <v>286</v>
      </c>
      <c r="E33" s="15" t="s">
        <v>287</v>
      </c>
      <c r="F33" s="18" t="str">
        <f>HYPERLINK("https://www.mhlw.go.jp/stf/seisakunitsuite/bunya/0000120692_00001.html","働き方改革推進支援助成金（業種別課題対応コース・建設業）")</f>
        <v>働き方改革推進支援助成金（業種別課題対応コース・建設業）</v>
      </c>
      <c r="G33" s="17" t="s">
        <v>134</v>
      </c>
      <c r="H33" s="17" t="s">
        <v>79</v>
      </c>
      <c r="I33" s="17" t="s">
        <v>288</v>
      </c>
      <c r="J33" s="17" t="s">
        <v>157</v>
      </c>
      <c r="K33" s="17" t="s">
        <v>289</v>
      </c>
      <c r="L33" s="15" t="s">
        <v>290</v>
      </c>
      <c r="M33" s="15" t="s">
        <v>124</v>
      </c>
      <c r="N33" s="15" t="s">
        <v>124</v>
      </c>
      <c r="O33" s="17" t="s">
        <v>291</v>
      </c>
      <c r="P33" s="17" t="s">
        <v>292</v>
      </c>
      <c r="Q33" s="15" t="s">
        <v>88</v>
      </c>
      <c r="R33" s="17" t="s">
        <v>102</v>
      </c>
      <c r="S33" s="15" t="s">
        <v>90</v>
      </c>
      <c r="T33" s="17" t="s">
        <v>199</v>
      </c>
      <c r="U33" s="16" t="s">
        <v>200</v>
      </c>
    </row>
    <row r="34" spans="1:21" ht="60" customHeight="1">
      <c r="A34" s="15">
        <v>30</v>
      </c>
      <c r="B34" s="19" t="s">
        <v>130</v>
      </c>
      <c r="C34" s="17" t="s">
        <v>258</v>
      </c>
      <c r="D34" s="17" t="s">
        <v>293</v>
      </c>
      <c r="E34" s="15" t="s">
        <v>294</v>
      </c>
      <c r="F34" s="18" t="str">
        <f>HYPERLINK("https://www.mhlw.go.jp/stf/seisakunitsuite/bunya/0000120692.html","働き方改革推進支援助成金（労働時間短縮・年休促進支援コース）")</f>
        <v>働き方改革推進支援助成金（労働時間短縮・年休促進支援コース）</v>
      </c>
      <c r="G34" s="17" t="s">
        <v>134</v>
      </c>
      <c r="H34" s="17" t="s">
        <v>79</v>
      </c>
      <c r="I34" s="17" t="s">
        <v>80</v>
      </c>
      <c r="J34" s="17" t="s">
        <v>148</v>
      </c>
      <c r="K34" s="17" t="s">
        <v>295</v>
      </c>
      <c r="L34" s="15" t="s">
        <v>290</v>
      </c>
      <c r="M34" s="15" t="s">
        <v>124</v>
      </c>
      <c r="N34" s="15" t="s">
        <v>124</v>
      </c>
      <c r="O34" s="17" t="s">
        <v>296</v>
      </c>
      <c r="P34" s="17" t="s">
        <v>297</v>
      </c>
      <c r="Q34" s="15" t="s">
        <v>88</v>
      </c>
      <c r="R34" s="17" t="s">
        <v>102</v>
      </c>
      <c r="S34" s="15" t="s">
        <v>90</v>
      </c>
      <c r="T34" s="17" t="s">
        <v>199</v>
      </c>
      <c r="U34" s="16" t="s">
        <v>200</v>
      </c>
    </row>
    <row r="35" spans="1:21" ht="60" customHeight="1">
      <c r="A35" s="15">
        <v>31</v>
      </c>
      <c r="B35" s="19" t="s">
        <v>130</v>
      </c>
      <c r="C35" s="17" t="s">
        <v>258</v>
      </c>
      <c r="D35" s="17" t="s">
        <v>298</v>
      </c>
      <c r="E35" s="15" t="s">
        <v>294</v>
      </c>
      <c r="F35" s="18" t="str">
        <f>HYPERLINK("https://www.mhlw.go.jp/stf/seisakunitsuite/bunya/0000120692.html","働き方改革推進支援助成金（勤務間インターバル導入コース）")</f>
        <v>働き方改革推進支援助成金（勤務間インターバル導入コース）</v>
      </c>
      <c r="G35" s="17" t="s">
        <v>134</v>
      </c>
      <c r="H35" s="17" t="s">
        <v>79</v>
      </c>
      <c r="I35" s="17" t="s">
        <v>80</v>
      </c>
      <c r="J35" s="17" t="s">
        <v>148</v>
      </c>
      <c r="K35" s="17" t="s">
        <v>299</v>
      </c>
      <c r="L35" s="15" t="s">
        <v>290</v>
      </c>
      <c r="M35" s="15" t="s">
        <v>124</v>
      </c>
      <c r="N35" s="15" t="s">
        <v>124</v>
      </c>
      <c r="O35" s="17" t="s">
        <v>300</v>
      </c>
      <c r="P35" s="17" t="s">
        <v>301</v>
      </c>
      <c r="Q35" s="15" t="s">
        <v>88</v>
      </c>
      <c r="R35" s="17" t="s">
        <v>102</v>
      </c>
      <c r="S35" s="15" t="s">
        <v>90</v>
      </c>
      <c r="T35" s="17" t="s">
        <v>199</v>
      </c>
      <c r="U35" s="16" t="s">
        <v>200</v>
      </c>
    </row>
    <row r="36" spans="1:21" ht="60" customHeight="1">
      <c r="A36" s="15">
        <v>32</v>
      </c>
      <c r="B36" s="19" t="s">
        <v>130</v>
      </c>
      <c r="C36" s="17" t="s">
        <v>258</v>
      </c>
      <c r="D36" s="17" t="s">
        <v>302</v>
      </c>
      <c r="E36" s="15" t="s">
        <v>294</v>
      </c>
      <c r="F36" s="18" t="str">
        <f>HYPERLINK("https://www.mhlw.go.jp/stf/seisakunitsuite/bunya/0000120692.html","働き方改革推進支援助成金（取引環境改善コース：R8新設）")</f>
        <v>働き方改革推進支援助成金（取引環境改善コース：R8新設）</v>
      </c>
      <c r="G36" s="17" t="s">
        <v>134</v>
      </c>
      <c r="H36" s="17" t="s">
        <v>79</v>
      </c>
      <c r="I36" s="17" t="s">
        <v>80</v>
      </c>
      <c r="J36" s="17" t="s">
        <v>148</v>
      </c>
      <c r="K36" s="17" t="s">
        <v>303</v>
      </c>
      <c r="L36" s="17" t="s">
        <v>304</v>
      </c>
      <c r="M36" s="15" t="s">
        <v>124</v>
      </c>
      <c r="N36" s="15" t="s">
        <v>124</v>
      </c>
      <c r="O36" s="17" t="s">
        <v>305</v>
      </c>
      <c r="P36" s="15" t="s">
        <v>306</v>
      </c>
      <c r="Q36" s="15" t="s">
        <v>88</v>
      </c>
      <c r="R36" s="17" t="s">
        <v>102</v>
      </c>
      <c r="S36" s="15" t="s">
        <v>90</v>
      </c>
      <c r="T36" s="17" t="s">
        <v>307</v>
      </c>
      <c r="U36" s="16" t="s">
        <v>129</v>
      </c>
    </row>
    <row r="37" spans="1:21" ht="60" customHeight="1">
      <c r="A37" s="15">
        <v>33</v>
      </c>
      <c r="B37" s="20" t="s">
        <v>308</v>
      </c>
      <c r="C37" s="17" t="s">
        <v>309</v>
      </c>
      <c r="D37" s="17" t="s">
        <v>310</v>
      </c>
      <c r="E37" s="15" t="s">
        <v>311</v>
      </c>
      <c r="F37" s="18" t="str">
        <f>HYPERLINK("https://www.mhlw.go.jp/stf/newpage_09940.html","エイジフレンドリー補助金（令和8年度）")</f>
        <v>エイジフレンドリー補助金（令和8年度）</v>
      </c>
      <c r="G37" s="17" t="s">
        <v>134</v>
      </c>
      <c r="H37" s="17" t="s">
        <v>79</v>
      </c>
      <c r="I37" s="17" t="s">
        <v>80</v>
      </c>
      <c r="J37" s="15" t="s">
        <v>312</v>
      </c>
      <c r="K37" s="17" t="s">
        <v>313</v>
      </c>
      <c r="L37" s="15" t="s">
        <v>314</v>
      </c>
      <c r="M37" s="17" t="s">
        <v>315</v>
      </c>
      <c r="N37" s="17" t="s">
        <v>316</v>
      </c>
      <c r="O37" s="17" t="s">
        <v>317</v>
      </c>
      <c r="P37" s="17" t="s">
        <v>318</v>
      </c>
      <c r="Q37" s="15" t="s">
        <v>88</v>
      </c>
      <c r="R37" s="17" t="s">
        <v>89</v>
      </c>
      <c r="S37" s="15" t="s">
        <v>90</v>
      </c>
      <c r="T37" s="17" t="s">
        <v>319</v>
      </c>
      <c r="U37" s="20" t="s">
        <v>320</v>
      </c>
    </row>
    <row r="38" spans="1:21" ht="60" customHeight="1">
      <c r="A38" s="15">
        <v>34</v>
      </c>
      <c r="B38" s="20" t="s">
        <v>308</v>
      </c>
      <c r="C38" s="17" t="s">
        <v>309</v>
      </c>
      <c r="D38" s="17" t="s">
        <v>321</v>
      </c>
      <c r="E38" s="15" t="s">
        <v>322</v>
      </c>
      <c r="F38" s="18" t="str">
        <f>HYPERLINK("https://www.mhlw.go.jp/stf/seisakunitsuite/bunya/0000049868.html","受動喫煙防止対策助成金（R8継続未確定）")</f>
        <v>受動喫煙防止対策助成金（R8継続未確定）</v>
      </c>
      <c r="G38" s="17" t="s">
        <v>134</v>
      </c>
      <c r="H38" s="17" t="s">
        <v>79</v>
      </c>
      <c r="I38" s="17" t="s">
        <v>80</v>
      </c>
      <c r="J38" s="17" t="s">
        <v>148</v>
      </c>
      <c r="K38" s="17" t="s">
        <v>323</v>
      </c>
      <c r="L38" s="15" t="s">
        <v>324</v>
      </c>
      <c r="M38" s="17" t="s">
        <v>304</v>
      </c>
      <c r="N38" s="17" t="s">
        <v>304</v>
      </c>
      <c r="O38" s="17" t="s">
        <v>325</v>
      </c>
      <c r="P38" s="17" t="s">
        <v>326</v>
      </c>
      <c r="Q38" s="15" t="s">
        <v>88</v>
      </c>
      <c r="R38" s="17" t="s">
        <v>89</v>
      </c>
      <c r="S38" s="15" t="s">
        <v>90</v>
      </c>
      <c r="T38" s="17" t="s">
        <v>327</v>
      </c>
      <c r="U38" s="16" t="s">
        <v>129</v>
      </c>
    </row>
    <row r="39" spans="1:21" ht="60" customHeight="1">
      <c r="A39" s="15">
        <v>35</v>
      </c>
      <c r="B39" s="20" t="s">
        <v>308</v>
      </c>
      <c r="C39" s="17" t="s">
        <v>309</v>
      </c>
      <c r="D39" s="15" t="s">
        <v>328</v>
      </c>
      <c r="E39" s="15" t="s">
        <v>329</v>
      </c>
      <c r="F39" s="18" t="str">
        <f>HYPERLINK("https://www.ipa.go.jp/security/security-action/index.html","SECURITY ACTION（IT導入補助金前提要件）")</f>
        <v>SECURITY ACTION（IT導入補助金前提要件）</v>
      </c>
      <c r="G39" s="15" t="s">
        <v>330</v>
      </c>
      <c r="H39" s="17" t="s">
        <v>79</v>
      </c>
      <c r="I39" s="17" t="s">
        <v>80</v>
      </c>
      <c r="J39" s="17" t="s">
        <v>95</v>
      </c>
      <c r="K39" s="17" t="s">
        <v>331</v>
      </c>
      <c r="L39" s="17" t="s">
        <v>332</v>
      </c>
      <c r="M39" s="17" t="s">
        <v>138</v>
      </c>
      <c r="N39" s="17" t="s">
        <v>138</v>
      </c>
      <c r="O39" s="17" t="s">
        <v>333</v>
      </c>
      <c r="P39" s="17" t="s">
        <v>334</v>
      </c>
      <c r="Q39" s="15" t="s">
        <v>213</v>
      </c>
      <c r="R39" s="17" t="s">
        <v>89</v>
      </c>
      <c r="S39" s="15" t="s">
        <v>90</v>
      </c>
      <c r="T39" s="17" t="s">
        <v>335</v>
      </c>
      <c r="U39" s="19" t="s">
        <v>138</v>
      </c>
    </row>
    <row r="40" spans="1:21" ht="60" customHeight="1">
      <c r="A40" s="15">
        <v>36</v>
      </c>
      <c r="B40" s="20" t="s">
        <v>308</v>
      </c>
      <c r="C40" s="17" t="s">
        <v>336</v>
      </c>
      <c r="D40" s="17" t="s">
        <v>337</v>
      </c>
      <c r="E40" s="15" t="s">
        <v>338</v>
      </c>
      <c r="F40" s="18" t="str">
        <f>HYPERLINK("https://chutaikyo.taisyokukin.go.jp/","中小企業退職金共済（中退共）")</f>
        <v>中小企業退職金共済（中退共）</v>
      </c>
      <c r="G40" s="17" t="s">
        <v>339</v>
      </c>
      <c r="H40" s="17" t="s">
        <v>79</v>
      </c>
      <c r="I40" s="17" t="s">
        <v>80</v>
      </c>
      <c r="J40" s="17" t="s">
        <v>148</v>
      </c>
      <c r="K40" s="17" t="s">
        <v>340</v>
      </c>
      <c r="L40" s="17" t="s">
        <v>137</v>
      </c>
      <c r="M40" s="17" t="s">
        <v>138</v>
      </c>
      <c r="N40" s="17" t="s">
        <v>138</v>
      </c>
      <c r="O40" s="17" t="s">
        <v>341</v>
      </c>
      <c r="P40" s="17" t="s">
        <v>342</v>
      </c>
      <c r="Q40" s="15" t="s">
        <v>213</v>
      </c>
      <c r="R40" s="17" t="s">
        <v>89</v>
      </c>
      <c r="S40" s="15" t="s">
        <v>90</v>
      </c>
      <c r="T40" s="17" t="s">
        <v>343</v>
      </c>
      <c r="U40" s="19" t="s">
        <v>138</v>
      </c>
    </row>
    <row r="41" spans="1:21" ht="60" customHeight="1">
      <c r="A41" s="15">
        <v>37</v>
      </c>
      <c r="B41" s="20" t="s">
        <v>308</v>
      </c>
      <c r="C41" s="17" t="s">
        <v>336</v>
      </c>
      <c r="D41" s="17" t="s">
        <v>344</v>
      </c>
      <c r="E41" s="15" t="s">
        <v>345</v>
      </c>
      <c r="F41" s="18" t="str">
        <f>HYPERLINK("https://www.kenntaikyou.com/","建設業退職金共済（建退共）")</f>
        <v>建設業退職金共済（建退共）</v>
      </c>
      <c r="G41" s="17" t="s">
        <v>339</v>
      </c>
      <c r="H41" s="17" t="s">
        <v>79</v>
      </c>
      <c r="I41" s="17" t="s">
        <v>288</v>
      </c>
      <c r="J41" s="17" t="s">
        <v>346</v>
      </c>
      <c r="K41" s="17" t="s">
        <v>347</v>
      </c>
      <c r="L41" s="17" t="s">
        <v>137</v>
      </c>
      <c r="M41" s="17" t="s">
        <v>138</v>
      </c>
      <c r="N41" s="17" t="s">
        <v>138</v>
      </c>
      <c r="O41" s="17" t="s">
        <v>348</v>
      </c>
      <c r="P41" s="17" t="s">
        <v>349</v>
      </c>
      <c r="Q41" s="15" t="s">
        <v>88</v>
      </c>
      <c r="R41" s="17" t="s">
        <v>89</v>
      </c>
      <c r="S41" s="15" t="s">
        <v>90</v>
      </c>
      <c r="T41" s="17" t="s">
        <v>343</v>
      </c>
      <c r="U41" s="19" t="s">
        <v>138</v>
      </c>
    </row>
    <row r="42" spans="1:21" ht="60" customHeight="1">
      <c r="A42" s="15">
        <v>38</v>
      </c>
      <c r="B42" s="20" t="s">
        <v>308</v>
      </c>
      <c r="C42" s="17" t="s">
        <v>336</v>
      </c>
      <c r="D42" s="17" t="s">
        <v>350</v>
      </c>
      <c r="E42" s="15" t="s">
        <v>351</v>
      </c>
      <c r="F42" s="18" t="str">
        <f>HYPERLINK("https://www.smrj.go.jp/skyosai/","小規模企業共済")</f>
        <v>小規模企業共済</v>
      </c>
      <c r="G42" s="17" t="s">
        <v>78</v>
      </c>
      <c r="H42" s="17" t="s">
        <v>79</v>
      </c>
      <c r="I42" s="17" t="s">
        <v>80</v>
      </c>
      <c r="J42" s="17" t="s">
        <v>352</v>
      </c>
      <c r="K42" s="17" t="s">
        <v>353</v>
      </c>
      <c r="L42" s="17" t="s">
        <v>137</v>
      </c>
      <c r="M42" s="17" t="s">
        <v>138</v>
      </c>
      <c r="N42" s="17" t="s">
        <v>138</v>
      </c>
      <c r="O42" s="17" t="s">
        <v>354</v>
      </c>
      <c r="P42" s="17" t="s">
        <v>355</v>
      </c>
      <c r="Q42" s="15" t="s">
        <v>356</v>
      </c>
      <c r="R42" s="17" t="s">
        <v>89</v>
      </c>
      <c r="S42" s="15" t="s">
        <v>90</v>
      </c>
      <c r="T42" s="17" t="s">
        <v>343</v>
      </c>
      <c r="U42" s="19" t="s">
        <v>138</v>
      </c>
    </row>
    <row r="43" spans="1:21" ht="60" customHeight="1">
      <c r="A43" s="15">
        <v>39</v>
      </c>
      <c r="B43" s="21" t="s">
        <v>357</v>
      </c>
      <c r="C43" s="15" t="s">
        <v>358</v>
      </c>
      <c r="D43" s="17" t="s">
        <v>359</v>
      </c>
      <c r="E43" s="15" t="s">
        <v>360</v>
      </c>
      <c r="F43" s="18" t="str">
        <f>HYPERLINK("https://it-shien.smrj.go.jp/","デジタル化・AI導入補助金2026（旧IT導入補助金 通常枠）")</f>
        <v>デジタル化・AI導入補助金2026（旧IT導入補助金 通常枠）</v>
      </c>
      <c r="G43" s="17" t="s">
        <v>361</v>
      </c>
      <c r="H43" s="17" t="s">
        <v>79</v>
      </c>
      <c r="I43" s="17" t="s">
        <v>80</v>
      </c>
      <c r="J43" s="17" t="s">
        <v>362</v>
      </c>
      <c r="K43" s="15" t="s">
        <v>363</v>
      </c>
      <c r="L43" s="15" t="s">
        <v>364</v>
      </c>
      <c r="M43" s="17" t="s">
        <v>365</v>
      </c>
      <c r="N43" s="17" t="s">
        <v>366</v>
      </c>
      <c r="O43" s="17" t="s">
        <v>367</v>
      </c>
      <c r="P43" s="17" t="s">
        <v>368</v>
      </c>
      <c r="Q43" s="15" t="s">
        <v>213</v>
      </c>
      <c r="R43" s="17" t="s">
        <v>102</v>
      </c>
      <c r="S43" s="15" t="s">
        <v>90</v>
      </c>
      <c r="T43" s="17" t="s">
        <v>369</v>
      </c>
      <c r="U43" s="19" t="s">
        <v>92</v>
      </c>
    </row>
    <row r="44" spans="1:21" ht="60" customHeight="1">
      <c r="A44" s="15">
        <v>40</v>
      </c>
      <c r="B44" s="21" t="s">
        <v>357</v>
      </c>
      <c r="C44" s="15" t="s">
        <v>358</v>
      </c>
      <c r="D44" s="17" t="s">
        <v>370</v>
      </c>
      <c r="E44" s="15" t="s">
        <v>360</v>
      </c>
      <c r="F44" s="18" t="str">
        <f>HYPERLINK("https://it-shien.smrj.go.jp/","デジタル化・AI導入補助金2026（インボイス対応類型）")</f>
        <v>デジタル化・AI導入補助金2026（インボイス対応類型）</v>
      </c>
      <c r="G44" s="17" t="s">
        <v>361</v>
      </c>
      <c r="H44" s="17" t="s">
        <v>79</v>
      </c>
      <c r="I44" s="17" t="s">
        <v>80</v>
      </c>
      <c r="J44" s="17" t="s">
        <v>362</v>
      </c>
      <c r="K44" s="17" t="s">
        <v>371</v>
      </c>
      <c r="L44" s="15" t="s">
        <v>372</v>
      </c>
      <c r="M44" s="17" t="s">
        <v>365</v>
      </c>
      <c r="N44" s="17" t="s">
        <v>373</v>
      </c>
      <c r="O44" s="17" t="s">
        <v>374</v>
      </c>
      <c r="P44" s="17" t="s">
        <v>375</v>
      </c>
      <c r="Q44" s="15" t="s">
        <v>213</v>
      </c>
      <c r="R44" s="17" t="s">
        <v>89</v>
      </c>
      <c r="S44" s="15" t="s">
        <v>90</v>
      </c>
      <c r="T44" s="17" t="s">
        <v>369</v>
      </c>
      <c r="U44" s="19" t="s">
        <v>92</v>
      </c>
    </row>
    <row r="45" spans="1:21" ht="60" customHeight="1">
      <c r="A45" s="15">
        <v>41</v>
      </c>
      <c r="B45" s="21" t="s">
        <v>357</v>
      </c>
      <c r="C45" s="15" t="s">
        <v>358</v>
      </c>
      <c r="D45" s="17" t="s">
        <v>376</v>
      </c>
      <c r="E45" s="15" t="s">
        <v>360</v>
      </c>
      <c r="F45" s="18" t="str">
        <f>HYPERLINK("https://it-shien.smrj.go.jp/","デジタル化・AI導入補助金2026（インボイス電子取引類型）")</f>
        <v>デジタル化・AI導入補助金2026（インボイス電子取引類型）</v>
      </c>
      <c r="G45" s="17" t="s">
        <v>361</v>
      </c>
      <c r="H45" s="17" t="s">
        <v>79</v>
      </c>
      <c r="I45" s="17" t="s">
        <v>80</v>
      </c>
      <c r="J45" s="17" t="s">
        <v>377</v>
      </c>
      <c r="K45" s="17" t="s">
        <v>378</v>
      </c>
      <c r="L45" s="17" t="s">
        <v>379</v>
      </c>
      <c r="M45" s="17" t="s">
        <v>365</v>
      </c>
      <c r="N45" s="17" t="s">
        <v>373</v>
      </c>
      <c r="O45" s="17" t="s">
        <v>380</v>
      </c>
      <c r="P45" s="15" t="s">
        <v>381</v>
      </c>
      <c r="Q45" s="15" t="s">
        <v>88</v>
      </c>
      <c r="R45" s="17" t="s">
        <v>102</v>
      </c>
      <c r="S45" s="15" t="s">
        <v>90</v>
      </c>
      <c r="T45" s="17" t="s">
        <v>369</v>
      </c>
      <c r="U45" s="19" t="s">
        <v>92</v>
      </c>
    </row>
    <row r="46" spans="1:21" ht="60" customHeight="1">
      <c r="A46" s="15">
        <v>42</v>
      </c>
      <c r="B46" s="21" t="s">
        <v>357</v>
      </c>
      <c r="C46" s="15" t="s">
        <v>358</v>
      </c>
      <c r="D46" s="17" t="s">
        <v>382</v>
      </c>
      <c r="E46" s="15" t="s">
        <v>360</v>
      </c>
      <c r="F46" s="18" t="str">
        <f>HYPERLINK("https://it-shien.smrj.go.jp/","デジタル化・AI導入補助金2026（セキュリティ対策推進枠）")</f>
        <v>デジタル化・AI導入補助金2026（セキュリティ対策推進枠）</v>
      </c>
      <c r="G46" s="17" t="s">
        <v>361</v>
      </c>
      <c r="H46" s="17" t="s">
        <v>79</v>
      </c>
      <c r="I46" s="17" t="s">
        <v>80</v>
      </c>
      <c r="J46" s="17" t="s">
        <v>383</v>
      </c>
      <c r="K46" s="15" t="s">
        <v>384</v>
      </c>
      <c r="L46" s="15" t="s">
        <v>385</v>
      </c>
      <c r="M46" s="17" t="s">
        <v>365</v>
      </c>
      <c r="N46" s="17" t="s">
        <v>373</v>
      </c>
      <c r="O46" s="17" t="s">
        <v>386</v>
      </c>
      <c r="P46" s="17" t="s">
        <v>387</v>
      </c>
      <c r="Q46" s="15" t="s">
        <v>213</v>
      </c>
      <c r="R46" s="17" t="s">
        <v>89</v>
      </c>
      <c r="S46" s="15" t="s">
        <v>90</v>
      </c>
      <c r="T46" s="17" t="s">
        <v>369</v>
      </c>
      <c r="U46" s="19" t="s">
        <v>92</v>
      </c>
    </row>
    <row r="47" spans="1:21" ht="60" customHeight="1">
      <c r="A47" s="15">
        <v>43</v>
      </c>
      <c r="B47" s="21" t="s">
        <v>357</v>
      </c>
      <c r="C47" s="15" t="s">
        <v>358</v>
      </c>
      <c r="D47" s="17" t="s">
        <v>388</v>
      </c>
      <c r="E47" s="15" t="s">
        <v>360</v>
      </c>
      <c r="F47" s="18" t="str">
        <f>HYPERLINK("https://it-shien.smrj.go.jp/","デジタル化・AI導入補助金2026（複数社連携IT導入枠）")</f>
        <v>デジタル化・AI導入補助金2026（複数社連携IT導入枠）</v>
      </c>
      <c r="G47" s="17" t="s">
        <v>361</v>
      </c>
      <c r="H47" s="17" t="s">
        <v>79</v>
      </c>
      <c r="I47" s="17" t="s">
        <v>80</v>
      </c>
      <c r="J47" s="15" t="s">
        <v>389</v>
      </c>
      <c r="K47" s="17" t="s">
        <v>390</v>
      </c>
      <c r="L47" s="15" t="s">
        <v>391</v>
      </c>
      <c r="M47" s="17" t="s">
        <v>365</v>
      </c>
      <c r="N47" s="17" t="s">
        <v>392</v>
      </c>
      <c r="O47" s="17" t="s">
        <v>393</v>
      </c>
      <c r="P47" s="15" t="s">
        <v>394</v>
      </c>
      <c r="Q47" s="15" t="s">
        <v>127</v>
      </c>
      <c r="R47" s="17" t="s">
        <v>115</v>
      </c>
      <c r="S47" s="15" t="s">
        <v>90</v>
      </c>
      <c r="T47" s="17" t="s">
        <v>395</v>
      </c>
      <c r="U47" s="19" t="s">
        <v>92</v>
      </c>
    </row>
    <row r="48" spans="1:21" ht="60" customHeight="1">
      <c r="A48" s="15">
        <v>44</v>
      </c>
      <c r="B48" s="21" t="s">
        <v>357</v>
      </c>
      <c r="C48" s="17" t="s">
        <v>396</v>
      </c>
      <c r="D48" s="17" t="s">
        <v>397</v>
      </c>
      <c r="E48" s="15" t="s">
        <v>398</v>
      </c>
      <c r="F48" s="18" t="str">
        <f>HYPERLINK("https://www.chusho.meti.go.jp/keiei/kyoka/kyoka_zeisei.html","中小企業経営強化税制")</f>
        <v>中小企業経営強化税制</v>
      </c>
      <c r="G48" s="17" t="s">
        <v>399</v>
      </c>
      <c r="H48" s="17" t="s">
        <v>79</v>
      </c>
      <c r="I48" s="17" t="s">
        <v>80</v>
      </c>
      <c r="J48" s="17" t="s">
        <v>400</v>
      </c>
      <c r="K48" s="17" t="s">
        <v>401</v>
      </c>
      <c r="L48" s="17" t="s">
        <v>402</v>
      </c>
      <c r="M48" s="17" t="s">
        <v>403</v>
      </c>
      <c r="N48" s="17" t="s">
        <v>404</v>
      </c>
      <c r="O48" s="17" t="s">
        <v>405</v>
      </c>
      <c r="P48" s="15" t="s">
        <v>406</v>
      </c>
      <c r="Q48" s="15" t="s">
        <v>88</v>
      </c>
      <c r="R48" s="17" t="s">
        <v>102</v>
      </c>
      <c r="S48" s="15" t="s">
        <v>90</v>
      </c>
      <c r="T48" s="17" t="s">
        <v>407</v>
      </c>
      <c r="U48" s="16" t="s">
        <v>408</v>
      </c>
    </row>
    <row r="49" spans="1:21" ht="60" customHeight="1">
      <c r="A49" s="15">
        <v>45</v>
      </c>
      <c r="B49" s="21" t="s">
        <v>357</v>
      </c>
      <c r="C49" s="17" t="s">
        <v>396</v>
      </c>
      <c r="D49" s="17" t="s">
        <v>409</v>
      </c>
      <c r="E49" s="15" t="s">
        <v>410</v>
      </c>
      <c r="F49" s="18" t="str">
        <f>HYPERLINK("https://www.chusho.meti.go.jp/keiei/zeisei/syotyutoushi.html","中小企業投資促進税制")</f>
        <v>中小企業投資促進税制</v>
      </c>
      <c r="G49" s="17" t="s">
        <v>399</v>
      </c>
      <c r="H49" s="17" t="s">
        <v>79</v>
      </c>
      <c r="I49" s="17" t="s">
        <v>80</v>
      </c>
      <c r="J49" s="17" t="s">
        <v>252</v>
      </c>
      <c r="K49" s="15" t="s">
        <v>411</v>
      </c>
      <c r="L49" s="17" t="s">
        <v>412</v>
      </c>
      <c r="M49" s="17" t="s">
        <v>413</v>
      </c>
      <c r="N49" s="17" t="s">
        <v>404</v>
      </c>
      <c r="O49" s="17" t="s">
        <v>414</v>
      </c>
      <c r="P49" s="17" t="s">
        <v>415</v>
      </c>
      <c r="Q49" s="15" t="s">
        <v>88</v>
      </c>
      <c r="R49" s="17" t="s">
        <v>89</v>
      </c>
      <c r="S49" s="15" t="s">
        <v>90</v>
      </c>
      <c r="T49" s="17" t="s">
        <v>407</v>
      </c>
      <c r="U49" s="19" t="s">
        <v>138</v>
      </c>
    </row>
    <row r="50" spans="1:21" ht="60" customHeight="1">
      <c r="A50" s="15">
        <v>46</v>
      </c>
      <c r="B50" s="21" t="s">
        <v>357</v>
      </c>
      <c r="C50" s="17" t="s">
        <v>396</v>
      </c>
      <c r="D50" s="17" t="s">
        <v>416</v>
      </c>
      <c r="E50" s="15" t="s">
        <v>417</v>
      </c>
      <c r="F50" s="18" t="str">
        <f>HYPERLINK("https://www.chusho.meti.go.jp/keiei/antei/bousai/index.html","中小企業防災・減災投資促進税制")</f>
        <v>中小企業防災・減災投資促進税制</v>
      </c>
      <c r="G50" s="17" t="s">
        <v>399</v>
      </c>
      <c r="H50" s="17" t="s">
        <v>79</v>
      </c>
      <c r="I50" s="17" t="s">
        <v>80</v>
      </c>
      <c r="J50" s="17" t="s">
        <v>418</v>
      </c>
      <c r="K50" s="17" t="s">
        <v>419</v>
      </c>
      <c r="L50" s="17" t="s">
        <v>420</v>
      </c>
      <c r="M50" s="17" t="s">
        <v>138</v>
      </c>
      <c r="N50" s="17" t="s">
        <v>304</v>
      </c>
      <c r="O50" s="17" t="s">
        <v>421</v>
      </c>
      <c r="P50" s="17" t="s">
        <v>422</v>
      </c>
      <c r="Q50" s="15" t="s">
        <v>88</v>
      </c>
      <c r="R50" s="17" t="s">
        <v>102</v>
      </c>
      <c r="S50" s="15" t="s">
        <v>90</v>
      </c>
      <c r="T50" s="17" t="s">
        <v>423</v>
      </c>
      <c r="U50" s="16" t="s">
        <v>408</v>
      </c>
    </row>
    <row r="51" spans="1:21" ht="60" customHeight="1">
      <c r="A51" s="15">
        <v>47</v>
      </c>
      <c r="B51" s="21" t="s">
        <v>357</v>
      </c>
      <c r="C51" s="17" t="s">
        <v>396</v>
      </c>
      <c r="D51" s="17" t="s">
        <v>424</v>
      </c>
      <c r="E51" s="15" t="s">
        <v>425</v>
      </c>
      <c r="F51" s="18" t="str">
        <f>HYPERLINK("https://www.nta.go.jp/taxes/shiraberu/taxanswer/hojin/5408.htm","少額減価償却資産の取得価額の損金算入特例")</f>
        <v>少額減価償却資産の取得価額の損金算入特例</v>
      </c>
      <c r="G51" s="17" t="s">
        <v>426</v>
      </c>
      <c r="H51" s="17" t="s">
        <v>79</v>
      </c>
      <c r="I51" s="17" t="s">
        <v>80</v>
      </c>
      <c r="J51" s="17" t="s">
        <v>427</v>
      </c>
      <c r="K51" s="15" t="s">
        <v>428</v>
      </c>
      <c r="L51" s="17" t="s">
        <v>429</v>
      </c>
      <c r="M51" s="17" t="s">
        <v>430</v>
      </c>
      <c r="N51" s="17" t="s">
        <v>431</v>
      </c>
      <c r="O51" s="17" t="s">
        <v>432</v>
      </c>
      <c r="P51" s="17" t="s">
        <v>433</v>
      </c>
      <c r="Q51" s="15" t="s">
        <v>213</v>
      </c>
      <c r="R51" s="17" t="s">
        <v>89</v>
      </c>
      <c r="S51" s="15" t="s">
        <v>90</v>
      </c>
      <c r="T51" s="17" t="s">
        <v>434</v>
      </c>
      <c r="U51" s="19" t="s">
        <v>138</v>
      </c>
    </row>
    <row r="52" spans="1:21" ht="60" customHeight="1">
      <c r="A52" s="15">
        <v>48</v>
      </c>
      <c r="B52" s="21" t="s">
        <v>357</v>
      </c>
      <c r="C52" s="17" t="s">
        <v>396</v>
      </c>
      <c r="D52" s="17" t="s">
        <v>435</v>
      </c>
      <c r="E52" s="15" t="s">
        <v>436</v>
      </c>
      <c r="F52" s="18" t="str">
        <f>HYPERLINK("https://www.jfc.go.jp/n/finance/search/03_ippanbusiness_m.html","日本政策金融公庫 一般貸付")</f>
        <v>日本政策金融公庫 一般貸付</v>
      </c>
      <c r="G52" s="17" t="s">
        <v>437</v>
      </c>
      <c r="H52" s="17" t="s">
        <v>79</v>
      </c>
      <c r="I52" s="17" t="s">
        <v>80</v>
      </c>
      <c r="J52" s="17" t="s">
        <v>438</v>
      </c>
      <c r="K52" s="17" t="s">
        <v>439</v>
      </c>
      <c r="L52" s="17" t="s">
        <v>440</v>
      </c>
      <c r="M52" s="17" t="s">
        <v>138</v>
      </c>
      <c r="N52" s="17" t="s">
        <v>138</v>
      </c>
      <c r="O52" s="17" t="s">
        <v>441</v>
      </c>
      <c r="P52" s="17" t="s">
        <v>442</v>
      </c>
      <c r="Q52" s="15" t="s">
        <v>222</v>
      </c>
      <c r="R52" s="17" t="s">
        <v>102</v>
      </c>
      <c r="S52" s="15" t="s">
        <v>90</v>
      </c>
      <c r="T52" s="17" t="s">
        <v>443</v>
      </c>
      <c r="U52" s="19" t="s">
        <v>138</v>
      </c>
    </row>
    <row r="53" spans="1:21" ht="60" customHeight="1">
      <c r="A53" s="15">
        <v>49</v>
      </c>
      <c r="B53" s="21" t="s">
        <v>357</v>
      </c>
      <c r="C53" s="17" t="s">
        <v>396</v>
      </c>
      <c r="D53" s="17" t="s">
        <v>444</v>
      </c>
      <c r="E53" s="15" t="s">
        <v>445</v>
      </c>
      <c r="F53" s="18" t="str">
        <f>HYPERLINK("https://www.jfc.go.jp/n/finance/search/30_t.html","日本政策金融公庫 新規開業・スタートアップ支援資金")</f>
        <v>日本政策金融公庫 新規開業・スタートアップ支援資金</v>
      </c>
      <c r="G53" s="17" t="s">
        <v>437</v>
      </c>
      <c r="H53" s="17" t="s">
        <v>79</v>
      </c>
      <c r="I53" s="17" t="s">
        <v>80</v>
      </c>
      <c r="J53" s="17" t="s">
        <v>446</v>
      </c>
      <c r="K53" s="17" t="s">
        <v>447</v>
      </c>
      <c r="L53" s="17" t="s">
        <v>448</v>
      </c>
      <c r="M53" s="17" t="s">
        <v>138</v>
      </c>
      <c r="N53" s="17" t="s">
        <v>138</v>
      </c>
      <c r="O53" s="17" t="s">
        <v>449</v>
      </c>
      <c r="P53" s="17" t="s">
        <v>450</v>
      </c>
      <c r="Q53" s="15" t="s">
        <v>356</v>
      </c>
      <c r="R53" s="17" t="s">
        <v>102</v>
      </c>
      <c r="S53" s="15" t="s">
        <v>90</v>
      </c>
      <c r="T53" s="17" t="s">
        <v>443</v>
      </c>
      <c r="U53" s="19" t="s">
        <v>138</v>
      </c>
    </row>
    <row r="54" spans="1:21" ht="60" customHeight="1">
      <c r="A54" s="15">
        <v>50</v>
      </c>
      <c r="B54" s="21" t="s">
        <v>357</v>
      </c>
      <c r="C54" s="17" t="s">
        <v>396</v>
      </c>
      <c r="D54" s="17" t="s">
        <v>451</v>
      </c>
      <c r="E54" s="15" t="s">
        <v>452</v>
      </c>
      <c r="F54" s="18" t="str">
        <f>HYPERLINK("https://www.jfc.go.jp/n/finance/search/syaspc/syaspc_m.html","日本政策金融公庫 セーフティネット貸付")</f>
        <v>日本政策金融公庫 セーフティネット貸付</v>
      </c>
      <c r="G54" s="17" t="s">
        <v>437</v>
      </c>
      <c r="H54" s="17" t="s">
        <v>79</v>
      </c>
      <c r="I54" s="17" t="s">
        <v>80</v>
      </c>
      <c r="J54" s="17" t="s">
        <v>453</v>
      </c>
      <c r="K54" s="17" t="s">
        <v>454</v>
      </c>
      <c r="L54" s="17" t="s">
        <v>455</v>
      </c>
      <c r="M54" s="17" t="s">
        <v>138</v>
      </c>
      <c r="N54" s="17" t="s">
        <v>138</v>
      </c>
      <c r="O54" s="17" t="s">
        <v>456</v>
      </c>
      <c r="P54" s="17" t="s">
        <v>457</v>
      </c>
      <c r="Q54" s="15" t="s">
        <v>222</v>
      </c>
      <c r="R54" s="17" t="s">
        <v>102</v>
      </c>
      <c r="S54" s="15" t="s">
        <v>90</v>
      </c>
      <c r="T54" s="17" t="s">
        <v>443</v>
      </c>
      <c r="U54" s="19" t="s">
        <v>138</v>
      </c>
    </row>
    <row r="55" spans="1:21" ht="60" customHeight="1">
      <c r="A55" s="15">
        <v>51</v>
      </c>
      <c r="B55" s="21" t="s">
        <v>357</v>
      </c>
      <c r="C55" s="17" t="s">
        <v>396</v>
      </c>
      <c r="D55" s="17" t="s">
        <v>458</v>
      </c>
      <c r="E55" s="15" t="s">
        <v>459</v>
      </c>
      <c r="F55" s="18" t="str">
        <f>HYPERLINK("https://www.jfc.go.jp/n/finance/search/14_keieiryokukyouka_m.html","日本政策金融公庫 経営力強化資金")</f>
        <v>日本政策金融公庫 経営力強化資金</v>
      </c>
      <c r="G55" s="17" t="s">
        <v>437</v>
      </c>
      <c r="H55" s="17" t="s">
        <v>79</v>
      </c>
      <c r="I55" s="17" t="s">
        <v>80</v>
      </c>
      <c r="J55" s="17" t="s">
        <v>460</v>
      </c>
      <c r="K55" s="17" t="s">
        <v>461</v>
      </c>
      <c r="L55" s="17" t="s">
        <v>462</v>
      </c>
      <c r="M55" s="17" t="s">
        <v>138</v>
      </c>
      <c r="N55" s="17" t="s">
        <v>138</v>
      </c>
      <c r="O55" s="17" t="s">
        <v>463</v>
      </c>
      <c r="P55" s="17" t="s">
        <v>464</v>
      </c>
      <c r="Q55" s="15" t="s">
        <v>88</v>
      </c>
      <c r="R55" s="17" t="s">
        <v>102</v>
      </c>
      <c r="S55" s="15" t="s">
        <v>90</v>
      </c>
      <c r="T55" s="17" t="s">
        <v>443</v>
      </c>
      <c r="U55" s="19" t="s">
        <v>138</v>
      </c>
    </row>
    <row r="56" spans="1:21" ht="60" customHeight="1">
      <c r="A56" s="15">
        <v>52</v>
      </c>
      <c r="B56" s="21" t="s">
        <v>357</v>
      </c>
      <c r="C56" s="17" t="s">
        <v>396</v>
      </c>
      <c r="D56" s="17" t="s">
        <v>465</v>
      </c>
      <c r="E56" s="15" t="s">
        <v>466</v>
      </c>
      <c r="F56" s="18" t="str">
        <f>HYPERLINK("https://www.jfg.zenshinhoren.or.jp/yushi.html","信用保証協会 各種保証制度（創業関連保証等）")</f>
        <v>信用保証協会 各種保証制度（創業関連保証等）</v>
      </c>
      <c r="G56" s="17" t="s">
        <v>467</v>
      </c>
      <c r="H56" s="17" t="s">
        <v>79</v>
      </c>
      <c r="I56" s="17" t="s">
        <v>80</v>
      </c>
      <c r="J56" s="17" t="s">
        <v>438</v>
      </c>
      <c r="K56" s="17" t="s">
        <v>468</v>
      </c>
      <c r="L56" s="17" t="s">
        <v>469</v>
      </c>
      <c r="M56" s="17" t="s">
        <v>138</v>
      </c>
      <c r="N56" s="17" t="s">
        <v>138</v>
      </c>
      <c r="O56" s="17" t="s">
        <v>470</v>
      </c>
      <c r="P56" s="17" t="s">
        <v>471</v>
      </c>
      <c r="Q56" s="15" t="s">
        <v>213</v>
      </c>
      <c r="R56" s="17" t="s">
        <v>89</v>
      </c>
      <c r="S56" s="15" t="s">
        <v>90</v>
      </c>
      <c r="T56" s="17" t="s">
        <v>472</v>
      </c>
      <c r="U56" s="19" t="s">
        <v>138</v>
      </c>
    </row>
    <row r="57" spans="1:21" ht="60" customHeight="1">
      <c r="A57" s="15">
        <v>53</v>
      </c>
      <c r="B57" s="22" t="s">
        <v>473</v>
      </c>
      <c r="C57" s="17" t="s">
        <v>474</v>
      </c>
      <c r="D57" s="17" t="s">
        <v>475</v>
      </c>
      <c r="E57" s="15" t="s">
        <v>476</v>
      </c>
      <c r="F57" s="18" t="str">
        <f>HYPERLINK("https://syouenehojyokin.sii.or.jp/","省エネ・非化石転換補助金（工場・事業場型）")</f>
        <v>省エネ・非化石転換補助金（工場・事業場型）</v>
      </c>
      <c r="G57" s="15" t="s">
        <v>477</v>
      </c>
      <c r="H57" s="17" t="s">
        <v>79</v>
      </c>
      <c r="I57" s="17" t="s">
        <v>80</v>
      </c>
      <c r="J57" s="17" t="s">
        <v>478</v>
      </c>
      <c r="K57" s="17" t="s">
        <v>479</v>
      </c>
      <c r="L57" s="15" t="s">
        <v>480</v>
      </c>
      <c r="M57" s="15" t="s">
        <v>481</v>
      </c>
      <c r="N57" s="17" t="s">
        <v>482</v>
      </c>
      <c r="O57" s="17" t="s">
        <v>483</v>
      </c>
      <c r="P57" s="17" t="s">
        <v>484</v>
      </c>
      <c r="Q57" s="15" t="s">
        <v>127</v>
      </c>
      <c r="R57" s="17" t="s">
        <v>115</v>
      </c>
      <c r="S57" s="15" t="s">
        <v>90</v>
      </c>
      <c r="T57" s="17" t="s">
        <v>485</v>
      </c>
      <c r="U57" s="16" t="s">
        <v>129</v>
      </c>
    </row>
    <row r="58" spans="1:21" ht="60" customHeight="1">
      <c r="A58" s="15">
        <v>54</v>
      </c>
      <c r="B58" s="22" t="s">
        <v>473</v>
      </c>
      <c r="C58" s="17" t="s">
        <v>474</v>
      </c>
      <c r="D58" s="17" t="s">
        <v>486</v>
      </c>
      <c r="E58" s="15" t="s">
        <v>476</v>
      </c>
      <c r="F58" s="18" t="str">
        <f>HYPERLINK("https://syouenehojyokin.sii.or.jp/","省エネ・非化石転換補助金（電化・脱炭素燃転型）")</f>
        <v>省エネ・非化石転換補助金（電化・脱炭素燃転型）</v>
      </c>
      <c r="G58" s="15" t="s">
        <v>477</v>
      </c>
      <c r="H58" s="17" t="s">
        <v>79</v>
      </c>
      <c r="I58" s="17" t="s">
        <v>80</v>
      </c>
      <c r="J58" s="17" t="s">
        <v>478</v>
      </c>
      <c r="K58" s="17" t="s">
        <v>304</v>
      </c>
      <c r="L58" s="15" t="s">
        <v>324</v>
      </c>
      <c r="M58" s="15" t="s">
        <v>487</v>
      </c>
      <c r="N58" s="17" t="s">
        <v>304</v>
      </c>
      <c r="O58" s="17" t="s">
        <v>488</v>
      </c>
      <c r="P58" s="17" t="s">
        <v>489</v>
      </c>
      <c r="Q58" s="15" t="s">
        <v>127</v>
      </c>
      <c r="R58" s="17" t="s">
        <v>115</v>
      </c>
      <c r="S58" s="15" t="s">
        <v>90</v>
      </c>
      <c r="T58" s="17" t="s">
        <v>485</v>
      </c>
      <c r="U58" s="16" t="s">
        <v>129</v>
      </c>
    </row>
    <row r="59" spans="1:21" ht="60" customHeight="1">
      <c r="A59" s="15">
        <v>55</v>
      </c>
      <c r="B59" s="22" t="s">
        <v>473</v>
      </c>
      <c r="C59" s="17" t="s">
        <v>474</v>
      </c>
      <c r="D59" s="17" t="s">
        <v>490</v>
      </c>
      <c r="E59" s="15" t="s">
        <v>476</v>
      </c>
      <c r="F59" s="18" t="str">
        <f>HYPERLINK("https://syouenehojyokin.sii.or.jp/","省エネ・非化石転換補助金（設備単位型）")</f>
        <v>省エネ・非化石転換補助金（設備単位型）</v>
      </c>
      <c r="G59" s="15" t="s">
        <v>477</v>
      </c>
      <c r="H59" s="17" t="s">
        <v>79</v>
      </c>
      <c r="I59" s="17" t="s">
        <v>80</v>
      </c>
      <c r="J59" s="17" t="s">
        <v>478</v>
      </c>
      <c r="K59" s="17" t="s">
        <v>304</v>
      </c>
      <c r="L59" s="15" t="s">
        <v>324</v>
      </c>
      <c r="M59" s="15" t="s">
        <v>487</v>
      </c>
      <c r="N59" s="17" t="s">
        <v>304</v>
      </c>
      <c r="O59" s="17" t="s">
        <v>491</v>
      </c>
      <c r="P59" s="17" t="s">
        <v>492</v>
      </c>
      <c r="Q59" s="15" t="s">
        <v>88</v>
      </c>
      <c r="R59" s="17" t="s">
        <v>102</v>
      </c>
      <c r="S59" s="15" t="s">
        <v>90</v>
      </c>
      <c r="T59" s="17" t="s">
        <v>485</v>
      </c>
      <c r="U59" s="16" t="s">
        <v>129</v>
      </c>
    </row>
    <row r="60" spans="1:21" ht="60" customHeight="1">
      <c r="A60" s="15">
        <v>56</v>
      </c>
      <c r="B60" s="22" t="s">
        <v>473</v>
      </c>
      <c r="C60" s="17" t="s">
        <v>474</v>
      </c>
      <c r="D60" s="15" t="s">
        <v>493</v>
      </c>
      <c r="E60" s="15" t="s">
        <v>494</v>
      </c>
      <c r="F60" s="18" t="str">
        <f>HYPERLINK("https://sii.or.jp/zeb_leading/","ZEB実証事業／業務用建築物の脱炭素改修加速化事業")</f>
        <v>ZEB実証事業／業務用建築物の脱炭素改修加速化事業</v>
      </c>
      <c r="G60" s="15" t="s">
        <v>477</v>
      </c>
      <c r="H60" s="17" t="s">
        <v>79</v>
      </c>
      <c r="I60" s="17" t="s">
        <v>80</v>
      </c>
      <c r="J60" s="17" t="s">
        <v>478</v>
      </c>
      <c r="K60" s="17" t="s">
        <v>304</v>
      </c>
      <c r="L60" s="17" t="s">
        <v>304</v>
      </c>
      <c r="M60" s="15" t="s">
        <v>124</v>
      </c>
      <c r="N60" s="15" t="s">
        <v>124</v>
      </c>
      <c r="O60" s="15" t="s">
        <v>495</v>
      </c>
      <c r="P60" s="17" t="s">
        <v>496</v>
      </c>
      <c r="Q60" s="15" t="s">
        <v>127</v>
      </c>
      <c r="R60" s="17" t="s">
        <v>115</v>
      </c>
      <c r="S60" s="15" t="s">
        <v>90</v>
      </c>
      <c r="T60" s="17" t="s">
        <v>497</v>
      </c>
      <c r="U60" s="16" t="s">
        <v>129</v>
      </c>
    </row>
    <row r="61" spans="1:21" ht="60" customHeight="1">
      <c r="A61" s="15">
        <v>57</v>
      </c>
      <c r="B61" s="22" t="s">
        <v>473</v>
      </c>
      <c r="C61" s="17" t="s">
        <v>498</v>
      </c>
      <c r="D61" s="17" t="s">
        <v>499</v>
      </c>
      <c r="E61" s="15" t="s">
        <v>500</v>
      </c>
      <c r="F61" s="18" t="str">
        <f>HYPERLINK("https://jutaku-shoene2026.mlit.go.jp/","住宅省エネ2026キャンペーン（4事業ワンストップ）")</f>
        <v>住宅省エネ2026キャンペーン（4事業ワンストップ）</v>
      </c>
      <c r="G61" s="17" t="s">
        <v>501</v>
      </c>
      <c r="H61" s="17" t="s">
        <v>79</v>
      </c>
      <c r="I61" s="17" t="s">
        <v>502</v>
      </c>
      <c r="J61" s="17" t="s">
        <v>503</v>
      </c>
      <c r="K61" s="17" t="s">
        <v>504</v>
      </c>
      <c r="L61" s="17" t="s">
        <v>332</v>
      </c>
      <c r="M61" s="17" t="s">
        <v>505</v>
      </c>
      <c r="N61" s="17" t="s">
        <v>506</v>
      </c>
      <c r="O61" s="15" t="s">
        <v>507</v>
      </c>
      <c r="P61" s="17" t="s">
        <v>508</v>
      </c>
      <c r="Q61" s="15" t="s">
        <v>213</v>
      </c>
      <c r="R61" s="17" t="s">
        <v>102</v>
      </c>
      <c r="S61" s="15" t="s">
        <v>90</v>
      </c>
      <c r="T61" s="17" t="s">
        <v>509</v>
      </c>
      <c r="U61" s="19" t="s">
        <v>510</v>
      </c>
    </row>
    <row r="62" spans="1:21" ht="60" customHeight="1">
      <c r="A62" s="15">
        <v>58</v>
      </c>
      <c r="B62" s="22" t="s">
        <v>473</v>
      </c>
      <c r="C62" s="17" t="s">
        <v>498</v>
      </c>
      <c r="D62" s="17" t="s">
        <v>511</v>
      </c>
      <c r="E62" s="15" t="s">
        <v>512</v>
      </c>
      <c r="F62" s="18" t="str">
        <f>HYPERLINK("https://www.mlit.go.jp/jutakukentiku/house/jutakukentiku_house_tk4_000310.html","みらいエコ住宅2026事業（Me住宅2026）")</f>
        <v>みらいエコ住宅2026事業（Me住宅2026）</v>
      </c>
      <c r="G62" s="17" t="s">
        <v>513</v>
      </c>
      <c r="H62" s="17" t="s">
        <v>79</v>
      </c>
      <c r="I62" s="17" t="s">
        <v>514</v>
      </c>
      <c r="J62" s="17" t="s">
        <v>503</v>
      </c>
      <c r="K62" s="17" t="s">
        <v>515</v>
      </c>
      <c r="L62" s="17" t="s">
        <v>332</v>
      </c>
      <c r="M62" s="17" t="s">
        <v>516</v>
      </c>
      <c r="N62" s="17" t="s">
        <v>517</v>
      </c>
      <c r="O62" s="17" t="s">
        <v>518</v>
      </c>
      <c r="P62" s="17" t="s">
        <v>519</v>
      </c>
      <c r="Q62" s="15" t="s">
        <v>213</v>
      </c>
      <c r="R62" s="17" t="s">
        <v>102</v>
      </c>
      <c r="S62" s="15" t="s">
        <v>90</v>
      </c>
      <c r="T62" s="17" t="s">
        <v>520</v>
      </c>
      <c r="U62" s="19" t="s">
        <v>521</v>
      </c>
    </row>
    <row r="63" spans="1:21" ht="60" customHeight="1">
      <c r="A63" s="15">
        <v>59</v>
      </c>
      <c r="B63" s="22" t="s">
        <v>473</v>
      </c>
      <c r="C63" s="17" t="s">
        <v>498</v>
      </c>
      <c r="D63" s="17" t="s">
        <v>522</v>
      </c>
      <c r="E63" s="15" t="s">
        <v>523</v>
      </c>
      <c r="F63" s="18" t="str">
        <f>HYPERLINK("https://window-renovation.env.go.jp/","先進的窓リノベ2026事業")</f>
        <v>先進的窓リノベ2026事業</v>
      </c>
      <c r="G63" s="17" t="s">
        <v>524</v>
      </c>
      <c r="H63" s="17" t="s">
        <v>79</v>
      </c>
      <c r="I63" s="17" t="s">
        <v>514</v>
      </c>
      <c r="J63" s="17" t="s">
        <v>503</v>
      </c>
      <c r="K63" s="15" t="s">
        <v>525</v>
      </c>
      <c r="L63" s="17" t="s">
        <v>332</v>
      </c>
      <c r="M63" s="17" t="s">
        <v>526</v>
      </c>
      <c r="N63" s="17" t="s">
        <v>527</v>
      </c>
      <c r="O63" s="17" t="s">
        <v>528</v>
      </c>
      <c r="P63" s="17" t="s">
        <v>529</v>
      </c>
      <c r="Q63" s="15" t="s">
        <v>213</v>
      </c>
      <c r="R63" s="17" t="s">
        <v>102</v>
      </c>
      <c r="S63" s="15" t="s">
        <v>90</v>
      </c>
      <c r="T63" s="17" t="s">
        <v>530</v>
      </c>
      <c r="U63" s="19" t="s">
        <v>510</v>
      </c>
    </row>
    <row r="64" spans="1:21" ht="60" customHeight="1">
      <c r="A64" s="15">
        <v>60</v>
      </c>
      <c r="B64" s="22" t="s">
        <v>473</v>
      </c>
      <c r="C64" s="17" t="s">
        <v>498</v>
      </c>
      <c r="D64" s="17" t="s">
        <v>531</v>
      </c>
      <c r="E64" s="15" t="s">
        <v>532</v>
      </c>
      <c r="F64" s="18" t="str">
        <f>HYPERLINK("https://kyutou-shoene2026.meti.go.jp/","給湯省エネ2026事業")</f>
        <v>給湯省エネ2026事業</v>
      </c>
      <c r="G64" s="17" t="s">
        <v>107</v>
      </c>
      <c r="H64" s="17" t="s">
        <v>79</v>
      </c>
      <c r="I64" s="17" t="s">
        <v>514</v>
      </c>
      <c r="J64" s="17" t="s">
        <v>503</v>
      </c>
      <c r="K64" s="17" t="s">
        <v>533</v>
      </c>
      <c r="L64" s="17" t="s">
        <v>332</v>
      </c>
      <c r="M64" s="17" t="s">
        <v>534</v>
      </c>
      <c r="N64" s="17" t="s">
        <v>535</v>
      </c>
      <c r="O64" s="17" t="s">
        <v>536</v>
      </c>
      <c r="P64" s="17" t="s">
        <v>537</v>
      </c>
      <c r="Q64" s="15" t="s">
        <v>213</v>
      </c>
      <c r="R64" s="17" t="s">
        <v>89</v>
      </c>
      <c r="S64" s="15" t="s">
        <v>90</v>
      </c>
      <c r="T64" s="17" t="s">
        <v>538</v>
      </c>
      <c r="U64" s="19" t="s">
        <v>510</v>
      </c>
    </row>
    <row r="65" spans="1:21" ht="60" customHeight="1">
      <c r="A65" s="15">
        <v>61</v>
      </c>
      <c r="B65" s="22" t="s">
        <v>473</v>
      </c>
      <c r="C65" s="17" t="s">
        <v>498</v>
      </c>
      <c r="D65" s="17" t="s">
        <v>539</v>
      </c>
      <c r="E65" s="15" t="s">
        <v>540</v>
      </c>
      <c r="F65" s="18" t="str">
        <f>HYPERLINK("https://chintaikyutou-shoene2026.meti.go.jp/","賃貸集合給湯省エネ2026事業")</f>
        <v>賃貸集合給湯省エネ2026事業</v>
      </c>
      <c r="G65" s="17" t="s">
        <v>107</v>
      </c>
      <c r="H65" s="17" t="s">
        <v>79</v>
      </c>
      <c r="I65" s="17" t="s">
        <v>514</v>
      </c>
      <c r="J65" s="17" t="s">
        <v>503</v>
      </c>
      <c r="K65" s="17" t="s">
        <v>541</v>
      </c>
      <c r="L65" s="17" t="s">
        <v>332</v>
      </c>
      <c r="M65" s="17" t="s">
        <v>534</v>
      </c>
      <c r="N65" s="17" t="s">
        <v>542</v>
      </c>
      <c r="O65" s="17" t="s">
        <v>543</v>
      </c>
      <c r="P65" s="17" t="s">
        <v>544</v>
      </c>
      <c r="Q65" s="15" t="s">
        <v>88</v>
      </c>
      <c r="R65" s="17" t="s">
        <v>89</v>
      </c>
      <c r="S65" s="15" t="s">
        <v>90</v>
      </c>
      <c r="T65" s="17" t="s">
        <v>545</v>
      </c>
      <c r="U65" s="19" t="s">
        <v>510</v>
      </c>
    </row>
    <row r="66" spans="1:21" ht="60" customHeight="1">
      <c r="A66" s="15">
        <v>62</v>
      </c>
      <c r="B66" s="22" t="s">
        <v>473</v>
      </c>
      <c r="C66" s="17" t="s">
        <v>498</v>
      </c>
      <c r="D66" s="17" t="s">
        <v>546</v>
      </c>
      <c r="E66" s="15" t="s">
        <v>547</v>
      </c>
      <c r="F66" s="18" t="str">
        <f>HYPERLINK("https://danrich.tokuteihijunho.jp/","既存住宅における断熱リフォーム支援事業")</f>
        <v>既存住宅における断熱リフォーム支援事業</v>
      </c>
      <c r="G66" s="17" t="s">
        <v>548</v>
      </c>
      <c r="H66" s="17" t="s">
        <v>79</v>
      </c>
      <c r="I66" s="17" t="s">
        <v>80</v>
      </c>
      <c r="J66" s="17" t="s">
        <v>549</v>
      </c>
      <c r="K66" s="17" t="s">
        <v>304</v>
      </c>
      <c r="L66" s="15" t="s">
        <v>110</v>
      </c>
      <c r="M66" s="15" t="s">
        <v>124</v>
      </c>
      <c r="N66" s="15" t="s">
        <v>124</v>
      </c>
      <c r="O66" s="17" t="s">
        <v>550</v>
      </c>
      <c r="P66" s="17" t="s">
        <v>551</v>
      </c>
      <c r="Q66" s="15" t="s">
        <v>88</v>
      </c>
      <c r="R66" s="17" t="s">
        <v>102</v>
      </c>
      <c r="S66" s="15" t="s">
        <v>90</v>
      </c>
      <c r="T66" s="17" t="s">
        <v>497</v>
      </c>
      <c r="U66" s="16" t="s">
        <v>129</v>
      </c>
    </row>
    <row r="67" spans="1:21" ht="60" customHeight="1">
      <c r="A67" s="15">
        <v>63</v>
      </c>
      <c r="B67" s="22" t="s">
        <v>473</v>
      </c>
      <c r="C67" s="17" t="s">
        <v>498</v>
      </c>
      <c r="D67" s="17" t="s">
        <v>552</v>
      </c>
      <c r="E67" s="15" t="s">
        <v>553</v>
      </c>
      <c r="F67" s="18" t="str">
        <f>HYPERLINK("https://sii.or.jp/zeh_kenchiku/","既築住宅のZEH改修実証支援事業")</f>
        <v>既築住宅のZEH改修実証支援事業</v>
      </c>
      <c r="G67" s="17" t="s">
        <v>554</v>
      </c>
      <c r="H67" s="17" t="s">
        <v>79</v>
      </c>
      <c r="I67" s="17" t="s">
        <v>80</v>
      </c>
      <c r="J67" s="17" t="s">
        <v>478</v>
      </c>
      <c r="K67" s="17" t="s">
        <v>304</v>
      </c>
      <c r="L67" s="17" t="s">
        <v>304</v>
      </c>
      <c r="M67" s="15" t="s">
        <v>124</v>
      </c>
      <c r="N67" s="15" t="s">
        <v>124</v>
      </c>
      <c r="O67" s="17" t="s">
        <v>555</v>
      </c>
      <c r="P67" s="15" t="s">
        <v>556</v>
      </c>
      <c r="Q67" s="15" t="s">
        <v>127</v>
      </c>
      <c r="R67" s="17" t="s">
        <v>115</v>
      </c>
      <c r="S67" s="15" t="s">
        <v>90</v>
      </c>
      <c r="T67" s="17" t="s">
        <v>497</v>
      </c>
      <c r="U67" s="16" t="s">
        <v>129</v>
      </c>
    </row>
    <row r="68" spans="1:21" ht="60" customHeight="1">
      <c r="A68" s="15">
        <v>64</v>
      </c>
      <c r="B68" s="22" t="s">
        <v>473</v>
      </c>
      <c r="C68" s="17" t="s">
        <v>498</v>
      </c>
      <c r="D68" s="17" t="s">
        <v>557</v>
      </c>
      <c r="E68" s="15" t="s">
        <v>558</v>
      </c>
      <c r="F68" s="18" t="str">
        <f>HYPERLINK("https://www.ccus.jp/","建設キャリアアップシステム（CCUS）")</f>
        <v>建設キャリアアップシステム（CCUS）</v>
      </c>
      <c r="G68" s="17" t="s">
        <v>559</v>
      </c>
      <c r="H68" s="17" t="s">
        <v>79</v>
      </c>
      <c r="I68" s="17" t="s">
        <v>288</v>
      </c>
      <c r="J68" s="17" t="s">
        <v>560</v>
      </c>
      <c r="K68" s="17" t="s">
        <v>561</v>
      </c>
      <c r="L68" s="17" t="s">
        <v>562</v>
      </c>
      <c r="M68" s="17" t="s">
        <v>138</v>
      </c>
      <c r="N68" s="17" t="s">
        <v>138</v>
      </c>
      <c r="O68" s="17" t="s">
        <v>563</v>
      </c>
      <c r="P68" s="17" t="s">
        <v>564</v>
      </c>
      <c r="Q68" s="15" t="s">
        <v>88</v>
      </c>
      <c r="R68" s="17" t="s">
        <v>89</v>
      </c>
      <c r="S68" s="15" t="s">
        <v>90</v>
      </c>
      <c r="T68" s="17" t="s">
        <v>565</v>
      </c>
      <c r="U68" s="19" t="s">
        <v>138</v>
      </c>
    </row>
    <row r="69" spans="1:21" ht="60" customHeight="1">
      <c r="A69" s="15">
        <v>65</v>
      </c>
      <c r="B69" s="22" t="s">
        <v>473</v>
      </c>
      <c r="C69" s="17" t="s">
        <v>498</v>
      </c>
      <c r="D69" s="17" t="s">
        <v>566</v>
      </c>
      <c r="E69" s="15" t="s">
        <v>155</v>
      </c>
      <c r="F69" s="18" t="str">
        <f>HYPERLINK("https://www.mhlw.go.jp/stf/seisakunitsuite/bunya/koyou_roudou/koyou/kensetsu-kouwan/kensetsu-kaizen.html","人材確保等支援助成金（CCUS等活用促進コース）")</f>
        <v>人材確保等支援助成金（CCUS等活用促進コース）</v>
      </c>
      <c r="G69" s="17" t="s">
        <v>134</v>
      </c>
      <c r="H69" s="17" t="s">
        <v>79</v>
      </c>
      <c r="I69" s="17" t="s">
        <v>288</v>
      </c>
      <c r="J69" s="17" t="s">
        <v>157</v>
      </c>
      <c r="K69" s="17" t="s">
        <v>567</v>
      </c>
      <c r="L69" s="17" t="s">
        <v>137</v>
      </c>
      <c r="M69" s="17" t="s">
        <v>138</v>
      </c>
      <c r="N69" s="17" t="s">
        <v>138</v>
      </c>
      <c r="O69" s="17" t="s">
        <v>568</v>
      </c>
      <c r="P69" s="17" t="s">
        <v>569</v>
      </c>
      <c r="Q69" s="15" t="s">
        <v>88</v>
      </c>
      <c r="R69" s="17" t="s">
        <v>102</v>
      </c>
      <c r="S69" s="15" t="s">
        <v>90</v>
      </c>
      <c r="T69" s="17" t="s">
        <v>570</v>
      </c>
      <c r="U69" s="16" t="s">
        <v>571</v>
      </c>
    </row>
    <row r="70" spans="1:21" ht="60" customHeight="1">
      <c r="A70" s="15">
        <v>66</v>
      </c>
      <c r="B70" s="22" t="s">
        <v>473</v>
      </c>
      <c r="C70" s="17" t="s">
        <v>498</v>
      </c>
      <c r="D70" s="17" t="s">
        <v>572</v>
      </c>
      <c r="E70" s="15" t="s">
        <v>155</v>
      </c>
      <c r="F70" s="18" t="str">
        <f>HYPERLINK("https://www.mhlw.go.jp/stf/seisakunitsuite/bunya/koyou_roudou/koyou/kensetsu-kouwan/kensetsu-kaizen.html","建設事業主等に対する助成金（若年・女性に魅力ある職場づくり）")</f>
        <v>建設事業主等に対する助成金（若年・女性に魅力ある職場づくり）</v>
      </c>
      <c r="G70" s="17" t="s">
        <v>134</v>
      </c>
      <c r="H70" s="17" t="s">
        <v>79</v>
      </c>
      <c r="I70" s="17" t="s">
        <v>288</v>
      </c>
      <c r="J70" s="17" t="s">
        <v>157</v>
      </c>
      <c r="K70" s="17" t="s">
        <v>573</v>
      </c>
      <c r="L70" s="17" t="s">
        <v>137</v>
      </c>
      <c r="M70" s="17" t="s">
        <v>138</v>
      </c>
      <c r="N70" s="17" t="s">
        <v>138</v>
      </c>
      <c r="O70" s="17" t="s">
        <v>574</v>
      </c>
      <c r="P70" s="17" t="s">
        <v>575</v>
      </c>
      <c r="Q70" s="15" t="s">
        <v>88</v>
      </c>
      <c r="R70" s="17" t="s">
        <v>102</v>
      </c>
      <c r="S70" s="15" t="s">
        <v>90</v>
      </c>
      <c r="T70" s="17" t="s">
        <v>576</v>
      </c>
      <c r="U70" s="16" t="s">
        <v>200</v>
      </c>
    </row>
    <row r="71" spans="1:21" ht="60" customHeight="1">
      <c r="A71" s="15">
        <v>67</v>
      </c>
      <c r="B71" s="22" t="s">
        <v>473</v>
      </c>
      <c r="C71" s="17" t="s">
        <v>498</v>
      </c>
      <c r="D71" s="17" t="s">
        <v>577</v>
      </c>
      <c r="E71" s="15" t="s">
        <v>155</v>
      </c>
      <c r="F71" s="18" t="str">
        <f>HYPERLINK("https://www.mhlw.go.jp/stf/seisakunitsuite/bunya/koyou_roudou/koyou/kensetsu-kouwan/kensetsu-kaizen.html","建設事業主等に対する助成金（作業員宿舎等設置助成）")</f>
        <v>建設事業主等に対する助成金（作業員宿舎等設置助成）</v>
      </c>
      <c r="G71" s="17" t="s">
        <v>134</v>
      </c>
      <c r="H71" s="17" t="s">
        <v>79</v>
      </c>
      <c r="I71" s="17" t="s">
        <v>578</v>
      </c>
      <c r="J71" s="17" t="s">
        <v>157</v>
      </c>
      <c r="K71" s="17" t="s">
        <v>579</v>
      </c>
      <c r="L71" s="15" t="s">
        <v>580</v>
      </c>
      <c r="M71" s="17" t="s">
        <v>138</v>
      </c>
      <c r="N71" s="17" t="s">
        <v>138</v>
      </c>
      <c r="O71" s="17" t="s">
        <v>581</v>
      </c>
      <c r="P71" s="17" t="s">
        <v>582</v>
      </c>
      <c r="Q71" s="15" t="s">
        <v>88</v>
      </c>
      <c r="R71" s="17" t="s">
        <v>102</v>
      </c>
      <c r="S71" s="15" t="s">
        <v>90</v>
      </c>
      <c r="T71" s="17" t="s">
        <v>583</v>
      </c>
      <c r="U71" s="16" t="s">
        <v>129</v>
      </c>
    </row>
    <row r="72" spans="1:21" ht="60" customHeight="1">
      <c r="A72" s="15">
        <v>68</v>
      </c>
      <c r="B72" s="22" t="s">
        <v>473</v>
      </c>
      <c r="C72" s="17" t="s">
        <v>498</v>
      </c>
      <c r="D72" s="17" t="s">
        <v>584</v>
      </c>
      <c r="E72" s="15" t="s">
        <v>585</v>
      </c>
      <c r="F72" s="18" t="str">
        <f>HYPERLINK("https://www.kashihoken.or.jp/","住宅瑕疵担保責任保険（住宅瑕疵担保履行法）")</f>
        <v>住宅瑕疵担保責任保険（住宅瑕疵担保履行法）</v>
      </c>
      <c r="G72" s="17" t="s">
        <v>586</v>
      </c>
      <c r="H72" s="17" t="s">
        <v>79</v>
      </c>
      <c r="I72" s="17" t="s">
        <v>587</v>
      </c>
      <c r="J72" s="17" t="s">
        <v>503</v>
      </c>
      <c r="K72" s="17" t="s">
        <v>588</v>
      </c>
      <c r="L72" s="17" t="s">
        <v>332</v>
      </c>
      <c r="M72" s="17" t="s">
        <v>138</v>
      </c>
      <c r="N72" s="17" t="s">
        <v>138</v>
      </c>
      <c r="O72" s="17" t="s">
        <v>589</v>
      </c>
      <c r="P72" s="17" t="s">
        <v>590</v>
      </c>
      <c r="Q72" s="15" t="s">
        <v>127</v>
      </c>
      <c r="R72" s="17" t="s">
        <v>102</v>
      </c>
      <c r="S72" s="15" t="s">
        <v>90</v>
      </c>
      <c r="T72" s="17" t="s">
        <v>591</v>
      </c>
      <c r="U72" s="16" t="s">
        <v>592</v>
      </c>
    </row>
    <row r="73" spans="1:21" ht="60" customHeight="1">
      <c r="A73" s="15">
        <v>69</v>
      </c>
      <c r="B73" s="19" t="s">
        <v>130</v>
      </c>
      <c r="C73" s="17" t="s">
        <v>131</v>
      </c>
      <c r="D73" s="17" t="s">
        <v>593</v>
      </c>
      <c r="E73" s="15" t="s">
        <v>594</v>
      </c>
      <c r="F73" s="18" t="str">
        <f>HYPERLINK("https://www.mhlw.go.jp/content/11600000/001685176.pdf","地域雇用開発助成金（地域雇用開発コース）")</f>
        <v>地域雇用開発助成金（地域雇用開発コース）</v>
      </c>
      <c r="G73" s="17" t="s">
        <v>134</v>
      </c>
      <c r="H73" s="17" t="s">
        <v>595</v>
      </c>
      <c r="I73" s="17" t="s">
        <v>80</v>
      </c>
      <c r="J73" s="17" t="s">
        <v>596</v>
      </c>
      <c r="K73" s="17" t="s">
        <v>597</v>
      </c>
      <c r="L73" s="17" t="s">
        <v>137</v>
      </c>
      <c r="M73" s="17" t="s">
        <v>138</v>
      </c>
      <c r="N73" s="17" t="s">
        <v>138</v>
      </c>
      <c r="O73" s="17" t="s">
        <v>598</v>
      </c>
      <c r="P73" s="17" t="s">
        <v>599</v>
      </c>
      <c r="Q73" s="15" t="s">
        <v>600</v>
      </c>
      <c r="R73" s="17" t="s">
        <v>115</v>
      </c>
      <c r="S73" s="15" t="s">
        <v>90</v>
      </c>
      <c r="T73" s="17" t="s">
        <v>601</v>
      </c>
      <c r="U73" s="19" t="s">
        <v>602</v>
      </c>
    </row>
    <row r="74" spans="1:21" ht="60" customHeight="1">
      <c r="A74" s="15">
        <v>70</v>
      </c>
      <c r="B74" s="19" t="s">
        <v>130</v>
      </c>
      <c r="C74" s="17" t="s">
        <v>131</v>
      </c>
      <c r="D74" s="17" t="s">
        <v>603</v>
      </c>
      <c r="E74" s="15" t="s">
        <v>604</v>
      </c>
      <c r="F74" s="18" t="str">
        <f>HYPERLINK("https://www.mhlw.go.jp/stf/seisakunitsuite/bunya/koyou_roudou/koyou/kyufukin/page04_00007.html","地域雇用開発助成金（沖縄若年者雇用促進コース）")</f>
        <v>地域雇用開発助成金（沖縄若年者雇用促進コース）</v>
      </c>
      <c r="G74" s="17" t="s">
        <v>134</v>
      </c>
      <c r="H74" s="17" t="s">
        <v>605</v>
      </c>
      <c r="I74" s="17" t="s">
        <v>80</v>
      </c>
      <c r="J74" s="17" t="s">
        <v>606</v>
      </c>
      <c r="K74" s="15" t="s">
        <v>607</v>
      </c>
      <c r="L74" s="17" t="s">
        <v>137</v>
      </c>
      <c r="M74" s="17" t="s">
        <v>138</v>
      </c>
      <c r="N74" s="17" t="s">
        <v>138</v>
      </c>
      <c r="O74" s="17" t="s">
        <v>608</v>
      </c>
      <c r="P74" s="17" t="s">
        <v>609</v>
      </c>
      <c r="Q74" s="15" t="s">
        <v>88</v>
      </c>
      <c r="R74" s="17" t="s">
        <v>102</v>
      </c>
      <c r="S74" s="15" t="s">
        <v>90</v>
      </c>
      <c r="T74" s="17" t="s">
        <v>610</v>
      </c>
      <c r="U74" s="19" t="s">
        <v>611</v>
      </c>
    </row>
    <row r="75" spans="1:21" ht="60" customHeight="1">
      <c r="A75" s="15">
        <v>71</v>
      </c>
      <c r="B75" s="19" t="s">
        <v>130</v>
      </c>
      <c r="C75" s="17" t="s">
        <v>131</v>
      </c>
      <c r="D75" s="15" t="s">
        <v>612</v>
      </c>
      <c r="E75" s="15" t="s">
        <v>169</v>
      </c>
      <c r="F75" s="18" t="str">
        <f>HYPERLINK("https://www.jeed.go.jp/elderly/employer/josei/employer05.html","65歳超雇用推進助成金（65歳超継続雇用促進コース）")</f>
        <v>65歳超雇用推進助成金（65歳超継続雇用促進コース）</v>
      </c>
      <c r="G75" s="15" t="s">
        <v>170</v>
      </c>
      <c r="H75" s="17" t="s">
        <v>79</v>
      </c>
      <c r="I75" s="17" t="s">
        <v>80</v>
      </c>
      <c r="J75" s="17" t="s">
        <v>135</v>
      </c>
      <c r="K75" s="17" t="s">
        <v>613</v>
      </c>
      <c r="L75" s="17" t="s">
        <v>614</v>
      </c>
      <c r="M75" s="17" t="s">
        <v>138</v>
      </c>
      <c r="N75" s="17" t="s">
        <v>138</v>
      </c>
      <c r="O75" s="15" t="s">
        <v>615</v>
      </c>
      <c r="P75" s="17" t="s">
        <v>616</v>
      </c>
      <c r="Q75" s="15" t="s">
        <v>127</v>
      </c>
      <c r="R75" s="17" t="s">
        <v>102</v>
      </c>
      <c r="S75" s="15" t="s">
        <v>90</v>
      </c>
      <c r="T75" s="17" t="s">
        <v>617</v>
      </c>
      <c r="U75" s="19" t="s">
        <v>618</v>
      </c>
    </row>
    <row r="76" spans="1:21" ht="60" customHeight="1">
      <c r="A76" s="15">
        <v>72</v>
      </c>
      <c r="B76" s="19" t="s">
        <v>130</v>
      </c>
      <c r="C76" s="17" t="s">
        <v>131</v>
      </c>
      <c r="D76" s="15" t="s">
        <v>619</v>
      </c>
      <c r="E76" s="15" t="s">
        <v>169</v>
      </c>
      <c r="F76" s="18" t="str">
        <f>HYPERLINK("https://www.jeed.go.jp/elderly/employer/josei/employer05.html","65歳超雇用推進助成金（高年齢者評価制度等雇用管理改善コース）")</f>
        <v>65歳超雇用推進助成金（高年齢者評価制度等雇用管理改善コース）</v>
      </c>
      <c r="G76" s="15" t="s">
        <v>170</v>
      </c>
      <c r="H76" s="17" t="s">
        <v>79</v>
      </c>
      <c r="I76" s="17" t="s">
        <v>80</v>
      </c>
      <c r="J76" s="17" t="s">
        <v>135</v>
      </c>
      <c r="K76" s="17" t="s">
        <v>620</v>
      </c>
      <c r="L76" s="17" t="s">
        <v>621</v>
      </c>
      <c r="M76" s="17" t="s">
        <v>138</v>
      </c>
      <c r="N76" s="17" t="s">
        <v>138</v>
      </c>
      <c r="O76" s="17" t="s">
        <v>622</v>
      </c>
      <c r="P76" s="17" t="s">
        <v>623</v>
      </c>
      <c r="Q76" s="15" t="s">
        <v>88</v>
      </c>
      <c r="R76" s="17" t="s">
        <v>102</v>
      </c>
      <c r="S76" s="15" t="s">
        <v>90</v>
      </c>
      <c r="T76" s="17" t="s">
        <v>175</v>
      </c>
      <c r="U76" s="19" t="s">
        <v>618</v>
      </c>
    </row>
    <row r="77" spans="1:21" ht="60" customHeight="1">
      <c r="A77" s="15">
        <v>73</v>
      </c>
      <c r="B77" s="21" t="s">
        <v>357</v>
      </c>
      <c r="C77" s="17" t="s">
        <v>396</v>
      </c>
      <c r="D77" s="17" t="s">
        <v>624</v>
      </c>
      <c r="E77" s="15" t="s">
        <v>625</v>
      </c>
      <c r="F77" s="18" t="str">
        <f>HYPERLINK("https://www.chusho.meti.go.jp/zaimu/zeisei/tokurei/kotei_shisan.html","固定資産税の特例（先端設備等導入計画）")</f>
        <v>固定資産税の特例（先端設備等導入計画）</v>
      </c>
      <c r="G77" s="17" t="s">
        <v>626</v>
      </c>
      <c r="H77" s="17" t="s">
        <v>79</v>
      </c>
      <c r="I77" s="17" t="s">
        <v>80</v>
      </c>
      <c r="J77" s="17" t="s">
        <v>627</v>
      </c>
      <c r="K77" s="17" t="s">
        <v>628</v>
      </c>
      <c r="L77" s="17" t="s">
        <v>629</v>
      </c>
      <c r="M77" s="17" t="s">
        <v>138</v>
      </c>
      <c r="N77" s="15" t="s">
        <v>630</v>
      </c>
      <c r="O77" s="17" t="s">
        <v>631</v>
      </c>
      <c r="P77" s="17" t="s">
        <v>632</v>
      </c>
      <c r="Q77" s="15" t="s">
        <v>88</v>
      </c>
      <c r="R77" s="17" t="s">
        <v>102</v>
      </c>
      <c r="S77" s="15" t="s">
        <v>90</v>
      </c>
      <c r="T77" s="17" t="s">
        <v>633</v>
      </c>
      <c r="U77" s="16" t="s">
        <v>129</v>
      </c>
    </row>
    <row r="78" spans="1:21" ht="60" customHeight="1">
      <c r="A78" s="15">
        <v>74</v>
      </c>
      <c r="B78" s="21" t="s">
        <v>357</v>
      </c>
      <c r="C78" s="17" t="s">
        <v>396</v>
      </c>
      <c r="D78" s="17" t="s">
        <v>634</v>
      </c>
      <c r="E78" s="15" t="s">
        <v>635</v>
      </c>
      <c r="F78" s="18" t="str">
        <f>HYPERLINK("https://www.jfc.go.jp/n/finance/search/27_w_keieisien_m.html","働き方改革推進支援資金（日本政策金融公庫）")</f>
        <v>働き方改革推進支援資金（日本政策金融公庫）</v>
      </c>
      <c r="G78" s="17" t="s">
        <v>437</v>
      </c>
      <c r="H78" s="17" t="s">
        <v>79</v>
      </c>
      <c r="I78" s="17" t="s">
        <v>80</v>
      </c>
      <c r="J78" s="17" t="s">
        <v>636</v>
      </c>
      <c r="K78" s="17" t="s">
        <v>637</v>
      </c>
      <c r="L78" s="17" t="s">
        <v>638</v>
      </c>
      <c r="M78" s="17" t="s">
        <v>138</v>
      </c>
      <c r="N78" s="17" t="s">
        <v>138</v>
      </c>
      <c r="O78" s="17" t="s">
        <v>639</v>
      </c>
      <c r="P78" s="17" t="s">
        <v>640</v>
      </c>
      <c r="Q78" s="15" t="s">
        <v>222</v>
      </c>
      <c r="R78" s="17" t="s">
        <v>102</v>
      </c>
      <c r="S78" s="15" t="s">
        <v>90</v>
      </c>
      <c r="T78" s="17" t="s">
        <v>443</v>
      </c>
      <c r="U78" s="19" t="s">
        <v>138</v>
      </c>
    </row>
    <row r="79" spans="1:21" ht="60" customHeight="1">
      <c r="A79" s="15">
        <v>75</v>
      </c>
      <c r="B79" s="21" t="s">
        <v>357</v>
      </c>
      <c r="C79" s="17" t="s">
        <v>396</v>
      </c>
      <c r="D79" s="17" t="s">
        <v>641</v>
      </c>
      <c r="E79" s="15" t="s">
        <v>642</v>
      </c>
      <c r="F79" s="18" t="str">
        <f>HYPERLINK("https://www.smrj.go.jp/kyosai/tkyosai/","経営セーフティ共済（中小企業倒産防止共済）")</f>
        <v>経営セーフティ共済（中小企業倒産防止共済）</v>
      </c>
      <c r="G79" s="17" t="s">
        <v>78</v>
      </c>
      <c r="H79" s="17" t="s">
        <v>79</v>
      </c>
      <c r="I79" s="17" t="s">
        <v>80</v>
      </c>
      <c r="J79" s="15" t="s">
        <v>643</v>
      </c>
      <c r="K79" s="17" t="s">
        <v>644</v>
      </c>
      <c r="L79" s="17" t="s">
        <v>645</v>
      </c>
      <c r="M79" s="17" t="s">
        <v>646</v>
      </c>
      <c r="N79" s="17" t="s">
        <v>647</v>
      </c>
      <c r="O79" s="17" t="s">
        <v>648</v>
      </c>
      <c r="P79" s="17" t="s">
        <v>649</v>
      </c>
      <c r="Q79" s="15" t="s">
        <v>88</v>
      </c>
      <c r="R79" s="17" t="s">
        <v>89</v>
      </c>
      <c r="S79" s="15" t="s">
        <v>90</v>
      </c>
      <c r="T79" s="17" t="s">
        <v>343</v>
      </c>
      <c r="U79" s="19" t="s">
        <v>138</v>
      </c>
    </row>
    <row r="80" spans="1:21" ht="60" customHeight="1">
      <c r="A80" s="15">
        <v>76</v>
      </c>
      <c r="B80" s="20" t="s">
        <v>308</v>
      </c>
      <c r="C80" s="17" t="s">
        <v>309</v>
      </c>
      <c r="D80" s="17" t="s">
        <v>650</v>
      </c>
      <c r="E80" s="15" t="s">
        <v>651</v>
      </c>
      <c r="F80" s="18" t="str">
        <f>HYPERLINK("https://www.meti.go.jp/policy/mono_info_service/healthcare/kenkoukeiei_yuryouhouzin.html","健康経営優良法人認定制度")</f>
        <v>健康経営優良法人認定制度</v>
      </c>
      <c r="G80" s="17" t="s">
        <v>107</v>
      </c>
      <c r="H80" s="17" t="s">
        <v>79</v>
      </c>
      <c r="I80" s="17" t="s">
        <v>80</v>
      </c>
      <c r="J80" s="17" t="s">
        <v>478</v>
      </c>
      <c r="K80" s="17" t="s">
        <v>652</v>
      </c>
      <c r="L80" s="17" t="s">
        <v>332</v>
      </c>
      <c r="M80" s="17" t="s">
        <v>138</v>
      </c>
      <c r="N80" s="17" t="s">
        <v>138</v>
      </c>
      <c r="O80" s="17" t="s">
        <v>653</v>
      </c>
      <c r="P80" s="17" t="s">
        <v>654</v>
      </c>
      <c r="Q80" s="15" t="s">
        <v>88</v>
      </c>
      <c r="R80" s="17" t="s">
        <v>102</v>
      </c>
      <c r="S80" s="15" t="s">
        <v>90</v>
      </c>
      <c r="T80" s="17" t="s">
        <v>655</v>
      </c>
      <c r="U80" s="19" t="s">
        <v>656</v>
      </c>
    </row>
    <row r="81" spans="1:21" ht="60" customHeight="1">
      <c r="A81" s="15">
        <v>77</v>
      </c>
      <c r="B81" s="16" t="s">
        <v>74</v>
      </c>
      <c r="C81" s="17" t="s">
        <v>657</v>
      </c>
      <c r="D81" s="17" t="s">
        <v>658</v>
      </c>
      <c r="E81" s="15" t="s">
        <v>659</v>
      </c>
      <c r="F81" s="18" t="str">
        <f>HYPERLINK("https://www.chusho.meti.go.jp/keiei/antei/bousai/keizokuryoku.html","事業継続力強化計画認定制度")</f>
        <v>事業継続力強化計画認定制度</v>
      </c>
      <c r="G81" s="17" t="s">
        <v>399</v>
      </c>
      <c r="H81" s="17" t="s">
        <v>79</v>
      </c>
      <c r="I81" s="17" t="s">
        <v>80</v>
      </c>
      <c r="J81" s="17" t="s">
        <v>478</v>
      </c>
      <c r="K81" s="17" t="s">
        <v>660</v>
      </c>
      <c r="L81" s="17" t="s">
        <v>332</v>
      </c>
      <c r="M81" s="17" t="s">
        <v>138</v>
      </c>
      <c r="N81" s="17" t="s">
        <v>138</v>
      </c>
      <c r="O81" s="17" t="s">
        <v>661</v>
      </c>
      <c r="P81" s="17" t="s">
        <v>662</v>
      </c>
      <c r="Q81" s="15" t="s">
        <v>213</v>
      </c>
      <c r="R81" s="17" t="s">
        <v>102</v>
      </c>
      <c r="S81" s="15" t="s">
        <v>90</v>
      </c>
      <c r="T81" s="17" t="s">
        <v>663</v>
      </c>
      <c r="U81" s="19" t="s">
        <v>138</v>
      </c>
    </row>
    <row r="82" spans="1:21" ht="60" customHeight="1">
      <c r="A82" s="15">
        <v>78</v>
      </c>
      <c r="B82" s="22" t="s">
        <v>473</v>
      </c>
      <c r="C82" s="17" t="s">
        <v>474</v>
      </c>
      <c r="D82" s="15" t="s">
        <v>664</v>
      </c>
      <c r="E82" s="15" t="s">
        <v>665</v>
      </c>
      <c r="F82" s="18" t="str">
        <f>HYPERLINK("https://japancredit.go.jp/","J-クレジット制度")</f>
        <v>J-クレジット制度</v>
      </c>
      <c r="G82" s="15" t="s">
        <v>666</v>
      </c>
      <c r="H82" s="17" t="s">
        <v>79</v>
      </c>
      <c r="I82" s="17" t="s">
        <v>80</v>
      </c>
      <c r="J82" s="17" t="s">
        <v>667</v>
      </c>
      <c r="K82" s="17" t="s">
        <v>668</v>
      </c>
      <c r="L82" s="17" t="s">
        <v>332</v>
      </c>
      <c r="M82" s="17" t="s">
        <v>138</v>
      </c>
      <c r="N82" s="17" t="s">
        <v>138</v>
      </c>
      <c r="O82" s="17" t="s">
        <v>669</v>
      </c>
      <c r="P82" s="17" t="s">
        <v>670</v>
      </c>
      <c r="Q82" s="15" t="s">
        <v>127</v>
      </c>
      <c r="R82" s="17" t="s">
        <v>115</v>
      </c>
      <c r="S82" s="15" t="s">
        <v>90</v>
      </c>
      <c r="T82" s="17" t="s">
        <v>671</v>
      </c>
      <c r="U82" s="19" t="s">
        <v>138</v>
      </c>
    </row>
    <row r="83" spans="1:21" ht="60" customHeight="1">
      <c r="A83" s="15">
        <v>79</v>
      </c>
      <c r="B83" s="16" t="s">
        <v>74</v>
      </c>
      <c r="C83" s="17" t="s">
        <v>672</v>
      </c>
      <c r="D83" s="17" t="s">
        <v>673</v>
      </c>
      <c r="E83" s="15" t="s">
        <v>674</v>
      </c>
      <c r="F83" s="18" t="str">
        <f>HYPERLINK("https://www.tokyo-kosha.or.jp/support/josei/jigyo/sogyo.html","創業助成事業 第2回（東京都）")</f>
        <v>創業助成事業 第2回（東京都）</v>
      </c>
      <c r="G83" s="17" t="s">
        <v>675</v>
      </c>
      <c r="H83" s="17" t="s">
        <v>676</v>
      </c>
      <c r="I83" s="17" t="s">
        <v>80</v>
      </c>
      <c r="J83" s="17" t="s">
        <v>677</v>
      </c>
      <c r="K83" s="17" t="s">
        <v>678</v>
      </c>
      <c r="L83" s="17" t="s">
        <v>679</v>
      </c>
      <c r="M83" s="17" t="s">
        <v>680</v>
      </c>
      <c r="N83" s="17" t="s">
        <v>681</v>
      </c>
      <c r="O83" s="17" t="s">
        <v>682</v>
      </c>
      <c r="P83" s="17" t="s">
        <v>683</v>
      </c>
      <c r="Q83" s="15" t="s">
        <v>49</v>
      </c>
      <c r="R83" s="17" t="s">
        <v>115</v>
      </c>
      <c r="S83" s="15" t="s">
        <v>90</v>
      </c>
      <c r="T83" s="17" t="s">
        <v>684</v>
      </c>
      <c r="U83" s="20" t="s">
        <v>104</v>
      </c>
    </row>
    <row r="84" spans="1:21" ht="60" customHeight="1">
      <c r="A84" s="15">
        <v>80</v>
      </c>
      <c r="B84" s="16" t="s">
        <v>74</v>
      </c>
      <c r="C84" s="17" t="s">
        <v>75</v>
      </c>
      <c r="D84" s="17" t="s">
        <v>685</v>
      </c>
      <c r="E84" s="15" t="s">
        <v>686</v>
      </c>
      <c r="F84" s="18" t="str">
        <f>HYPERLINK("https://www.tokyo-kosha.or.jp/support/josei/setsubijosei/yakushinteki.html","躍進的な事業推進のための設備投資支援事業 第11回")</f>
        <v>躍進的な事業推進のための設備投資支援事業 第11回</v>
      </c>
      <c r="G84" s="17" t="s">
        <v>675</v>
      </c>
      <c r="H84" s="17" t="s">
        <v>676</v>
      </c>
      <c r="I84" s="17" t="s">
        <v>80</v>
      </c>
      <c r="J84" s="17" t="s">
        <v>478</v>
      </c>
      <c r="K84" s="17" t="s">
        <v>687</v>
      </c>
      <c r="L84" s="17" t="s">
        <v>688</v>
      </c>
      <c r="M84" s="17" t="s">
        <v>689</v>
      </c>
      <c r="N84" s="17" t="s">
        <v>690</v>
      </c>
      <c r="O84" s="17" t="s">
        <v>691</v>
      </c>
      <c r="P84" s="17" t="s">
        <v>692</v>
      </c>
      <c r="Q84" s="15" t="s">
        <v>127</v>
      </c>
      <c r="R84" s="17" t="s">
        <v>115</v>
      </c>
      <c r="S84" s="15" t="s">
        <v>90</v>
      </c>
      <c r="T84" s="17" t="s">
        <v>689</v>
      </c>
      <c r="U84" s="16" t="s">
        <v>129</v>
      </c>
    </row>
    <row r="85" spans="1:21" ht="60" customHeight="1">
      <c r="A85" s="15">
        <v>81</v>
      </c>
      <c r="B85" s="16" t="s">
        <v>74</v>
      </c>
      <c r="C85" s="17" t="s">
        <v>75</v>
      </c>
      <c r="D85" s="17" t="s">
        <v>693</v>
      </c>
      <c r="E85" s="15" t="s">
        <v>694</v>
      </c>
      <c r="F85" s="18" t="str">
        <f>HYPERLINK("https://www.tokyo-kosha.or.jp/support/josei/jigyo/shinseihinShingijutsu.html","新製品・新技術開発助成事業（東京都）")</f>
        <v>新製品・新技術開発助成事業（東京都）</v>
      </c>
      <c r="G85" s="17" t="s">
        <v>675</v>
      </c>
      <c r="H85" s="17" t="s">
        <v>676</v>
      </c>
      <c r="I85" s="17" t="s">
        <v>80</v>
      </c>
      <c r="J85" s="17" t="s">
        <v>627</v>
      </c>
      <c r="K85" s="17" t="s">
        <v>695</v>
      </c>
      <c r="L85" s="15" t="s">
        <v>385</v>
      </c>
      <c r="M85" s="15" t="s">
        <v>696</v>
      </c>
      <c r="N85" s="17" t="s">
        <v>304</v>
      </c>
      <c r="O85" s="17" t="s">
        <v>697</v>
      </c>
      <c r="P85" s="17" t="s">
        <v>698</v>
      </c>
      <c r="Q85" s="15" t="s">
        <v>127</v>
      </c>
      <c r="R85" s="17" t="s">
        <v>115</v>
      </c>
      <c r="S85" s="15" t="s">
        <v>90</v>
      </c>
      <c r="T85" s="17" t="s">
        <v>497</v>
      </c>
      <c r="U85" s="16" t="s">
        <v>129</v>
      </c>
    </row>
    <row r="86" spans="1:21" ht="60" customHeight="1">
      <c r="A86" s="15">
        <v>82</v>
      </c>
      <c r="B86" s="16" t="s">
        <v>74</v>
      </c>
      <c r="C86" s="17" t="s">
        <v>117</v>
      </c>
      <c r="D86" s="17" t="s">
        <v>699</v>
      </c>
      <c r="E86" s="15" t="s">
        <v>700</v>
      </c>
      <c r="F86" s="18" t="str">
        <f>HYPERLINK("https://www.tokyo-kosha.or.jp/support/josei/jigyo/shijokaitaku.html","市場開拓助成事業（東京都）")</f>
        <v>市場開拓助成事業（東京都）</v>
      </c>
      <c r="G86" s="17" t="s">
        <v>675</v>
      </c>
      <c r="H86" s="17" t="s">
        <v>676</v>
      </c>
      <c r="I86" s="17" t="s">
        <v>80</v>
      </c>
      <c r="J86" s="17" t="s">
        <v>627</v>
      </c>
      <c r="K86" s="17" t="s">
        <v>701</v>
      </c>
      <c r="L86" s="15" t="s">
        <v>385</v>
      </c>
      <c r="M86" s="15" t="s">
        <v>702</v>
      </c>
      <c r="N86" s="15" t="s">
        <v>703</v>
      </c>
      <c r="O86" s="17" t="s">
        <v>704</v>
      </c>
      <c r="P86" s="17" t="s">
        <v>705</v>
      </c>
      <c r="Q86" s="15" t="s">
        <v>88</v>
      </c>
      <c r="R86" s="17" t="s">
        <v>102</v>
      </c>
      <c r="S86" s="15" t="s">
        <v>90</v>
      </c>
      <c r="T86" s="17" t="s">
        <v>497</v>
      </c>
      <c r="U86" s="16" t="s">
        <v>129</v>
      </c>
    </row>
    <row r="87" spans="1:21" ht="60" customHeight="1">
      <c r="A87" s="15">
        <v>83</v>
      </c>
      <c r="B87" s="21" t="s">
        <v>357</v>
      </c>
      <c r="C87" s="15" t="s">
        <v>358</v>
      </c>
      <c r="D87" s="15" t="s">
        <v>706</v>
      </c>
      <c r="E87" s="15" t="s">
        <v>707</v>
      </c>
      <c r="F87" s="18" t="str">
        <f>HYPERLINK("https://www.tokyo-kosha.or.jp/support/josei/setsubijosei/dx.html","DX推進助成金（東京都）")</f>
        <v>DX推進助成金（東京都）</v>
      </c>
      <c r="G87" s="17" t="s">
        <v>675</v>
      </c>
      <c r="H87" s="17" t="s">
        <v>676</v>
      </c>
      <c r="I87" s="17" t="s">
        <v>80</v>
      </c>
      <c r="J87" s="17" t="s">
        <v>708</v>
      </c>
      <c r="K87" s="17" t="s">
        <v>709</v>
      </c>
      <c r="L87" s="15" t="s">
        <v>123</v>
      </c>
      <c r="M87" s="15" t="s">
        <v>124</v>
      </c>
      <c r="N87" s="15" t="s">
        <v>124</v>
      </c>
      <c r="O87" s="17" t="s">
        <v>710</v>
      </c>
      <c r="P87" s="17" t="s">
        <v>711</v>
      </c>
      <c r="Q87" s="15" t="s">
        <v>88</v>
      </c>
      <c r="R87" s="17" t="s">
        <v>115</v>
      </c>
      <c r="S87" s="15" t="s">
        <v>90</v>
      </c>
      <c r="T87" s="17" t="s">
        <v>497</v>
      </c>
      <c r="U87" s="16" t="s">
        <v>129</v>
      </c>
    </row>
    <row r="88" spans="1:21" ht="60" customHeight="1">
      <c r="A88" s="15">
        <v>84</v>
      </c>
      <c r="B88" s="16" t="s">
        <v>74</v>
      </c>
      <c r="C88" s="17" t="s">
        <v>657</v>
      </c>
      <c r="D88" s="15" t="s">
        <v>712</v>
      </c>
      <c r="E88" s="15" t="s">
        <v>713</v>
      </c>
      <c r="F88" s="18" t="str">
        <f>HYPERLINK("https://www.tokyo-kosha.or.jp/support/josei/setsubijosei/bcp.html","BCP実践促進助成金（東京都）")</f>
        <v>BCP実践促進助成金（東京都）</v>
      </c>
      <c r="G88" s="17" t="s">
        <v>675</v>
      </c>
      <c r="H88" s="17" t="s">
        <v>676</v>
      </c>
      <c r="I88" s="17" t="s">
        <v>80</v>
      </c>
      <c r="J88" s="17" t="s">
        <v>708</v>
      </c>
      <c r="K88" s="17" t="s">
        <v>714</v>
      </c>
      <c r="L88" s="15" t="s">
        <v>324</v>
      </c>
      <c r="M88" s="15" t="s">
        <v>124</v>
      </c>
      <c r="N88" s="15" t="s">
        <v>124</v>
      </c>
      <c r="O88" s="17" t="s">
        <v>715</v>
      </c>
      <c r="P88" s="17" t="s">
        <v>716</v>
      </c>
      <c r="Q88" s="15" t="s">
        <v>88</v>
      </c>
      <c r="R88" s="17" t="s">
        <v>102</v>
      </c>
      <c r="S88" s="15" t="s">
        <v>90</v>
      </c>
      <c r="T88" s="17" t="s">
        <v>497</v>
      </c>
      <c r="U88" s="16" t="s">
        <v>129</v>
      </c>
    </row>
    <row r="89" spans="1:21" ht="60" customHeight="1">
      <c r="A89" s="15">
        <v>85</v>
      </c>
      <c r="B89" s="16" t="s">
        <v>74</v>
      </c>
      <c r="C89" s="17" t="s">
        <v>672</v>
      </c>
      <c r="D89" s="17" t="s">
        <v>717</v>
      </c>
      <c r="E89" s="15" t="s">
        <v>718</v>
      </c>
      <c r="F89" s="18" t="str">
        <f>HYPERLINK("https://www.sangyo-rodo.metro.tokyo.lg.jp/chushou/shokogyo/sangyo/josei/wakate-josei/","若手・女性リーダー応援プログラム助成事業（東京都）")</f>
        <v>若手・女性リーダー応援プログラム助成事業（東京都）</v>
      </c>
      <c r="G89" s="17" t="s">
        <v>719</v>
      </c>
      <c r="H89" s="17" t="s">
        <v>676</v>
      </c>
      <c r="I89" s="17" t="s">
        <v>720</v>
      </c>
      <c r="J89" s="17" t="s">
        <v>721</v>
      </c>
      <c r="K89" s="17" t="s">
        <v>722</v>
      </c>
      <c r="L89" s="15" t="s">
        <v>290</v>
      </c>
      <c r="M89" s="15" t="s">
        <v>702</v>
      </c>
      <c r="N89" s="15" t="s">
        <v>723</v>
      </c>
      <c r="O89" s="17" t="s">
        <v>724</v>
      </c>
      <c r="P89" s="17" t="s">
        <v>725</v>
      </c>
      <c r="Q89" s="15" t="s">
        <v>49</v>
      </c>
      <c r="R89" s="17" t="s">
        <v>115</v>
      </c>
      <c r="S89" s="15" t="s">
        <v>90</v>
      </c>
      <c r="T89" s="17" t="s">
        <v>497</v>
      </c>
      <c r="U89" s="16" t="s">
        <v>129</v>
      </c>
    </row>
    <row r="90" spans="1:21" ht="60" customHeight="1">
      <c r="A90" s="15">
        <v>86</v>
      </c>
      <c r="B90" s="16" t="s">
        <v>74</v>
      </c>
      <c r="C90" s="17" t="s">
        <v>672</v>
      </c>
      <c r="D90" s="17" t="s">
        <v>726</v>
      </c>
      <c r="E90" s="15" t="s">
        <v>727</v>
      </c>
      <c r="F90" s="18" t="str">
        <f>HYPERLINK("https://www.sangyo-rodo.metro.tokyo.lg.jp/chushou/shokogyo/sangyo/syotengai/","商店街起業・承継支援事業（東京都）")</f>
        <v>商店街起業・承継支援事業（東京都）</v>
      </c>
      <c r="G90" s="17" t="s">
        <v>719</v>
      </c>
      <c r="H90" s="17" t="s">
        <v>676</v>
      </c>
      <c r="I90" s="17" t="s">
        <v>728</v>
      </c>
      <c r="J90" s="17" t="s">
        <v>729</v>
      </c>
      <c r="K90" s="17" t="s">
        <v>722</v>
      </c>
      <c r="L90" s="15" t="s">
        <v>730</v>
      </c>
      <c r="M90" s="15" t="s">
        <v>731</v>
      </c>
      <c r="N90" s="15" t="s">
        <v>723</v>
      </c>
      <c r="O90" s="17" t="s">
        <v>732</v>
      </c>
      <c r="P90" s="17" t="s">
        <v>733</v>
      </c>
      <c r="Q90" s="15" t="s">
        <v>49</v>
      </c>
      <c r="R90" s="17" t="s">
        <v>115</v>
      </c>
      <c r="S90" s="15" t="s">
        <v>90</v>
      </c>
      <c r="T90" s="17" t="s">
        <v>497</v>
      </c>
      <c r="U90" s="16" t="s">
        <v>129</v>
      </c>
    </row>
    <row r="91" spans="1:21" ht="60" customHeight="1">
      <c r="A91" s="15">
        <v>87</v>
      </c>
      <c r="B91" s="16" t="s">
        <v>74</v>
      </c>
      <c r="C91" s="17" t="s">
        <v>117</v>
      </c>
      <c r="D91" s="17" t="s">
        <v>734</v>
      </c>
      <c r="E91" s="15" t="s">
        <v>735</v>
      </c>
      <c r="F91" s="18" t="str">
        <f>HYPERLINK("https://www.tokyo-kosha.or.jp/support/josei/jigyo/cf_kakushinteki.html","クラウドファンディング活用助成金（CF活用助成金）（東京都）")</f>
        <v>クラウドファンディング活用助成金（CF活用助成金）（東京都）</v>
      </c>
      <c r="G91" s="17" t="s">
        <v>675</v>
      </c>
      <c r="H91" s="17" t="s">
        <v>676</v>
      </c>
      <c r="I91" s="17" t="s">
        <v>80</v>
      </c>
      <c r="J91" s="17" t="s">
        <v>438</v>
      </c>
      <c r="K91" s="17" t="s">
        <v>736</v>
      </c>
      <c r="L91" s="15" t="s">
        <v>385</v>
      </c>
      <c r="M91" s="15" t="s">
        <v>124</v>
      </c>
      <c r="N91" s="15" t="s">
        <v>124</v>
      </c>
      <c r="O91" s="17" t="s">
        <v>737</v>
      </c>
      <c r="P91" s="17" t="s">
        <v>738</v>
      </c>
      <c r="Q91" s="15" t="s">
        <v>356</v>
      </c>
      <c r="R91" s="17" t="s">
        <v>89</v>
      </c>
      <c r="S91" s="15" t="s">
        <v>90</v>
      </c>
      <c r="T91" s="17" t="s">
        <v>497</v>
      </c>
      <c r="U91" s="16" t="s">
        <v>129</v>
      </c>
    </row>
    <row r="92" spans="1:21" ht="60" customHeight="1">
      <c r="A92" s="15">
        <v>88</v>
      </c>
      <c r="B92" s="19" t="s">
        <v>130</v>
      </c>
      <c r="C92" s="17" t="s">
        <v>131</v>
      </c>
      <c r="D92" s="17" t="s">
        <v>739</v>
      </c>
      <c r="E92" s="15" t="s">
        <v>740</v>
      </c>
      <c r="F92" s="18" t="str">
        <f>HYPERLINK("https://www.hataraku.metro.tokyo.lg.jp/shogai/josei/start/","東京都中小企業障害者雇用スタート支援奨励金")</f>
        <v>東京都中小企業障害者雇用スタート支援奨励金</v>
      </c>
      <c r="G92" s="17" t="s">
        <v>719</v>
      </c>
      <c r="H92" s="17" t="s">
        <v>676</v>
      </c>
      <c r="I92" s="17" t="s">
        <v>80</v>
      </c>
      <c r="J92" s="17" t="s">
        <v>741</v>
      </c>
      <c r="K92" s="17" t="s">
        <v>742</v>
      </c>
      <c r="L92" s="17" t="s">
        <v>137</v>
      </c>
      <c r="M92" s="17" t="s">
        <v>138</v>
      </c>
      <c r="N92" s="17" t="s">
        <v>138</v>
      </c>
      <c r="O92" s="17" t="s">
        <v>743</v>
      </c>
      <c r="P92" s="17" t="s">
        <v>744</v>
      </c>
      <c r="Q92" s="15" t="s">
        <v>88</v>
      </c>
      <c r="R92" s="17" t="s">
        <v>102</v>
      </c>
      <c r="S92" s="15" t="s">
        <v>90</v>
      </c>
      <c r="T92" s="17" t="s">
        <v>175</v>
      </c>
      <c r="U92" s="19" t="s">
        <v>138</v>
      </c>
    </row>
    <row r="93" spans="1:21" ht="60" customHeight="1">
      <c r="A93" s="15">
        <v>89</v>
      </c>
      <c r="B93" s="19" t="s">
        <v>130</v>
      </c>
      <c r="C93" s="17" t="s">
        <v>131</v>
      </c>
      <c r="D93" s="17" t="s">
        <v>745</v>
      </c>
      <c r="E93" s="15" t="s">
        <v>746</v>
      </c>
      <c r="F93" s="18" t="str">
        <f>HYPERLINK("https://www.hataraku.metro.tokyo.lg.jp/seiki-koyo/kigyou/seikitenkan/","東京都正規雇用等転換安定化支援助成金")</f>
        <v>東京都正規雇用等転換安定化支援助成金</v>
      </c>
      <c r="G93" s="17" t="s">
        <v>719</v>
      </c>
      <c r="H93" s="17" t="s">
        <v>676</v>
      </c>
      <c r="I93" s="17" t="s">
        <v>80</v>
      </c>
      <c r="J93" s="17" t="s">
        <v>747</v>
      </c>
      <c r="K93" s="17" t="s">
        <v>748</v>
      </c>
      <c r="L93" s="17" t="s">
        <v>137</v>
      </c>
      <c r="M93" s="17" t="s">
        <v>138</v>
      </c>
      <c r="N93" s="17" t="s">
        <v>138</v>
      </c>
      <c r="O93" s="17" t="s">
        <v>749</v>
      </c>
      <c r="P93" s="17" t="s">
        <v>750</v>
      </c>
      <c r="Q93" s="15" t="s">
        <v>88</v>
      </c>
      <c r="R93" s="17" t="s">
        <v>102</v>
      </c>
      <c r="S93" s="15" t="s">
        <v>90</v>
      </c>
      <c r="T93" s="17" t="s">
        <v>175</v>
      </c>
      <c r="U93" s="19" t="s">
        <v>138</v>
      </c>
    </row>
    <row r="94" spans="1:21" ht="60" customHeight="1">
      <c r="A94" s="15">
        <v>90</v>
      </c>
      <c r="B94" s="19" t="s">
        <v>130</v>
      </c>
      <c r="C94" s="17" t="s">
        <v>131</v>
      </c>
      <c r="D94" s="17" t="s">
        <v>751</v>
      </c>
      <c r="E94" s="15" t="s">
        <v>752</v>
      </c>
      <c r="F94" s="18" t="str">
        <f>HYPERLINK("https://www.hataraku.metro.tokyo.lg.jp/seiki-koyo/kigyou/hyogaki/","東京都就職氷河期世代等安定就業サポート助成金 令和8年度")</f>
        <v>東京都就職氷河期世代等安定就業サポート助成金 令和8年度</v>
      </c>
      <c r="G94" s="17" t="s">
        <v>719</v>
      </c>
      <c r="H94" s="17" t="s">
        <v>676</v>
      </c>
      <c r="I94" s="17" t="s">
        <v>80</v>
      </c>
      <c r="J94" s="17" t="s">
        <v>747</v>
      </c>
      <c r="K94" s="17" t="s">
        <v>753</v>
      </c>
      <c r="L94" s="17" t="s">
        <v>137</v>
      </c>
      <c r="M94" s="15" t="s">
        <v>754</v>
      </c>
      <c r="N94" s="15" t="s">
        <v>755</v>
      </c>
      <c r="O94" s="17" t="s">
        <v>756</v>
      </c>
      <c r="P94" s="17" t="s">
        <v>757</v>
      </c>
      <c r="Q94" s="15" t="s">
        <v>88</v>
      </c>
      <c r="R94" s="17" t="s">
        <v>102</v>
      </c>
      <c r="S94" s="15" t="s">
        <v>90</v>
      </c>
      <c r="T94" s="17" t="s">
        <v>758</v>
      </c>
      <c r="U94" s="16" t="s">
        <v>129</v>
      </c>
    </row>
    <row r="95" spans="1:21" ht="60" customHeight="1">
      <c r="A95" s="15">
        <v>91</v>
      </c>
      <c r="B95" s="19" t="s">
        <v>130</v>
      </c>
      <c r="C95" s="17" t="s">
        <v>131</v>
      </c>
      <c r="D95" s="17" t="s">
        <v>759</v>
      </c>
      <c r="E95" s="15" t="s">
        <v>760</v>
      </c>
      <c r="F95" s="18" t="str">
        <f>HYPERLINK("https://www.hataraku.metro.tokyo.lg.jp/seiki-koyo/kigyou/wakate/","東京都若者の早期職場定着支援助成金")</f>
        <v>東京都若者の早期職場定着支援助成金</v>
      </c>
      <c r="G95" s="17" t="s">
        <v>719</v>
      </c>
      <c r="H95" s="17" t="s">
        <v>676</v>
      </c>
      <c r="I95" s="17" t="s">
        <v>80</v>
      </c>
      <c r="J95" s="17" t="s">
        <v>747</v>
      </c>
      <c r="K95" s="17" t="s">
        <v>761</v>
      </c>
      <c r="L95" s="17" t="s">
        <v>137</v>
      </c>
      <c r="M95" s="15" t="s">
        <v>124</v>
      </c>
      <c r="N95" s="15" t="s">
        <v>124</v>
      </c>
      <c r="O95" s="17" t="s">
        <v>762</v>
      </c>
      <c r="P95" s="17" t="s">
        <v>763</v>
      </c>
      <c r="Q95" s="15" t="s">
        <v>88</v>
      </c>
      <c r="R95" s="17" t="s">
        <v>102</v>
      </c>
      <c r="S95" s="15" t="s">
        <v>90</v>
      </c>
      <c r="T95" s="17" t="s">
        <v>497</v>
      </c>
      <c r="U95" s="16" t="s">
        <v>129</v>
      </c>
    </row>
    <row r="96" spans="1:21" ht="60" customHeight="1">
      <c r="A96" s="15">
        <v>92</v>
      </c>
      <c r="B96" s="19" t="s">
        <v>130</v>
      </c>
      <c r="C96" s="17" t="s">
        <v>258</v>
      </c>
      <c r="D96" s="17" t="s">
        <v>764</v>
      </c>
      <c r="E96" s="15" t="s">
        <v>765</v>
      </c>
      <c r="F96" s="18" t="str">
        <f>HYPERLINK("https://www.hataraku.metro.tokyo.lg.jp/kaizen/koyoukankyo/shourei/","東京都働きやすい職場環境づくり推進奨励金")</f>
        <v>東京都働きやすい職場環境づくり推進奨励金</v>
      </c>
      <c r="G96" s="17" t="s">
        <v>719</v>
      </c>
      <c r="H96" s="17" t="s">
        <v>676</v>
      </c>
      <c r="I96" s="17" t="s">
        <v>80</v>
      </c>
      <c r="J96" s="17" t="s">
        <v>747</v>
      </c>
      <c r="K96" s="17" t="s">
        <v>766</v>
      </c>
      <c r="L96" s="17" t="s">
        <v>137</v>
      </c>
      <c r="M96" s="15" t="s">
        <v>767</v>
      </c>
      <c r="N96" s="15" t="s">
        <v>124</v>
      </c>
      <c r="O96" s="17" t="s">
        <v>768</v>
      </c>
      <c r="P96" s="17" t="s">
        <v>769</v>
      </c>
      <c r="Q96" s="15" t="s">
        <v>88</v>
      </c>
      <c r="R96" s="17" t="s">
        <v>102</v>
      </c>
      <c r="S96" s="15" t="s">
        <v>90</v>
      </c>
      <c r="T96" s="17" t="s">
        <v>497</v>
      </c>
      <c r="U96" s="16" t="s">
        <v>129</v>
      </c>
    </row>
    <row r="97" spans="1:21" ht="60" customHeight="1">
      <c r="A97" s="15">
        <v>93</v>
      </c>
      <c r="B97" s="19" t="s">
        <v>130</v>
      </c>
      <c r="C97" s="17" t="s">
        <v>258</v>
      </c>
      <c r="D97" s="17" t="s">
        <v>770</v>
      </c>
      <c r="E97" s="15" t="s">
        <v>771</v>
      </c>
      <c r="F97" s="18" t="str">
        <f>HYPERLINK("https://www.tokyo-engagement.jp/","手取り時間創出・魅力ある職場づくり推進奨励金（東京都）")</f>
        <v>手取り時間創出・魅力ある職場づくり推進奨励金（東京都）</v>
      </c>
      <c r="G97" s="17" t="s">
        <v>772</v>
      </c>
      <c r="H97" s="17" t="s">
        <v>676</v>
      </c>
      <c r="I97" s="17" t="s">
        <v>80</v>
      </c>
      <c r="J97" s="17" t="s">
        <v>773</v>
      </c>
      <c r="K97" s="17" t="s">
        <v>774</v>
      </c>
      <c r="L97" s="17" t="s">
        <v>137</v>
      </c>
      <c r="M97" s="15" t="s">
        <v>767</v>
      </c>
      <c r="N97" s="15" t="s">
        <v>124</v>
      </c>
      <c r="O97" s="17" t="s">
        <v>775</v>
      </c>
      <c r="P97" s="17" t="s">
        <v>776</v>
      </c>
      <c r="Q97" s="15" t="s">
        <v>88</v>
      </c>
      <c r="R97" s="17" t="s">
        <v>102</v>
      </c>
      <c r="S97" s="15" t="s">
        <v>90</v>
      </c>
      <c r="T97" s="17" t="s">
        <v>497</v>
      </c>
      <c r="U97" s="16" t="s">
        <v>129</v>
      </c>
    </row>
    <row r="98" spans="1:21" ht="60" customHeight="1">
      <c r="A98" s="15">
        <v>94</v>
      </c>
      <c r="B98" s="19" t="s">
        <v>130</v>
      </c>
      <c r="C98" s="17" t="s">
        <v>258</v>
      </c>
      <c r="D98" s="17" t="s">
        <v>777</v>
      </c>
      <c r="E98" s="15" t="s">
        <v>778</v>
      </c>
      <c r="F98" s="18" t="str">
        <f>HYPERLINK("https://www.koyokankyo.shigotozaidan.or.jp/jigyo/papamama/index.html","働く人の育業応援事業（東京都）★働くパパママ育業応援奨励金後継")</f>
        <v>働く人の育業応援事業（東京都）★働くパパママ育業応援奨励金後継</v>
      </c>
      <c r="G98" s="17" t="s">
        <v>772</v>
      </c>
      <c r="H98" s="17" t="s">
        <v>676</v>
      </c>
      <c r="I98" s="17" t="s">
        <v>80</v>
      </c>
      <c r="J98" s="17" t="s">
        <v>773</v>
      </c>
      <c r="K98" s="17" t="s">
        <v>779</v>
      </c>
      <c r="L98" s="17" t="s">
        <v>137</v>
      </c>
      <c r="M98" s="15" t="s">
        <v>703</v>
      </c>
      <c r="N98" s="15" t="s">
        <v>124</v>
      </c>
      <c r="O98" s="17" t="s">
        <v>780</v>
      </c>
      <c r="P98" s="17" t="s">
        <v>781</v>
      </c>
      <c r="Q98" s="15" t="s">
        <v>88</v>
      </c>
      <c r="R98" s="17" t="s">
        <v>102</v>
      </c>
      <c r="S98" s="15" t="s">
        <v>90</v>
      </c>
      <c r="T98" s="17" t="s">
        <v>497</v>
      </c>
      <c r="U98" s="16" t="s">
        <v>129</v>
      </c>
    </row>
    <row r="99" spans="1:21" ht="60" customHeight="1">
      <c r="A99" s="15">
        <v>95</v>
      </c>
      <c r="B99" s="19" t="s">
        <v>130</v>
      </c>
      <c r="C99" s="17" t="s">
        <v>258</v>
      </c>
      <c r="D99" s="17" t="s">
        <v>782</v>
      </c>
      <c r="E99" s="15" t="s">
        <v>783</v>
      </c>
      <c r="F99" s="18" t="str">
        <f>HYPERLINK("https://nenshunokabetoppa-syoureikin.jp/","「年収の壁突破」総合対策促進奨励金（東京都）")</f>
        <v>「年収の壁突破」総合対策促進奨励金（東京都）</v>
      </c>
      <c r="G99" s="17" t="s">
        <v>772</v>
      </c>
      <c r="H99" s="17" t="s">
        <v>676</v>
      </c>
      <c r="I99" s="17" t="s">
        <v>80</v>
      </c>
      <c r="J99" s="17" t="s">
        <v>784</v>
      </c>
      <c r="K99" s="15" t="s">
        <v>785</v>
      </c>
      <c r="L99" s="17" t="s">
        <v>137</v>
      </c>
      <c r="M99" s="17" t="s">
        <v>786</v>
      </c>
      <c r="N99" s="15" t="s">
        <v>124</v>
      </c>
      <c r="O99" s="17" t="s">
        <v>787</v>
      </c>
      <c r="P99" s="17" t="s">
        <v>788</v>
      </c>
      <c r="Q99" s="15" t="s">
        <v>88</v>
      </c>
      <c r="R99" s="17" t="s">
        <v>102</v>
      </c>
      <c r="S99" s="15" t="s">
        <v>90</v>
      </c>
      <c r="T99" s="17" t="s">
        <v>789</v>
      </c>
      <c r="U99" s="16" t="s">
        <v>200</v>
      </c>
    </row>
    <row r="100" spans="1:21" ht="60" customHeight="1">
      <c r="A100" s="15">
        <v>96</v>
      </c>
      <c r="B100" s="19" t="s">
        <v>130</v>
      </c>
      <c r="C100" s="17" t="s">
        <v>258</v>
      </c>
      <c r="D100" s="17" t="s">
        <v>790</v>
      </c>
      <c r="E100" s="15" t="s">
        <v>791</v>
      </c>
      <c r="F100" s="18" t="str">
        <f>HYPERLINK("https://www.hataraku.metro.tokyo.lg.jp/hatarakikata/lwb/ikiiki/nintei/","東京ライフ・ワーク・バランス認定企業（表彰・PR・入札加点）")</f>
        <v>東京ライフ・ワーク・バランス認定企業（表彰・PR・入札加点）</v>
      </c>
      <c r="G100" s="17" t="s">
        <v>719</v>
      </c>
      <c r="H100" s="17" t="s">
        <v>676</v>
      </c>
      <c r="I100" s="17" t="s">
        <v>80</v>
      </c>
      <c r="J100" s="17" t="s">
        <v>792</v>
      </c>
      <c r="K100" s="17" t="s">
        <v>793</v>
      </c>
      <c r="L100" s="17" t="s">
        <v>332</v>
      </c>
      <c r="M100" s="15" t="s">
        <v>124</v>
      </c>
      <c r="N100" s="15" t="s">
        <v>124</v>
      </c>
      <c r="O100" s="17" t="s">
        <v>794</v>
      </c>
      <c r="P100" s="15" t="s">
        <v>795</v>
      </c>
      <c r="Q100" s="15" t="s">
        <v>88</v>
      </c>
      <c r="R100" s="17" t="s">
        <v>89</v>
      </c>
      <c r="S100" s="15" t="s">
        <v>90</v>
      </c>
      <c r="T100" s="17" t="s">
        <v>655</v>
      </c>
      <c r="U100" s="23" t="s">
        <v>656</v>
      </c>
    </row>
    <row r="101" spans="1:21" ht="60" customHeight="1">
      <c r="A101" s="15">
        <v>97</v>
      </c>
      <c r="B101" s="19" t="s">
        <v>130</v>
      </c>
      <c r="C101" s="17" t="s">
        <v>131</v>
      </c>
      <c r="D101" s="17" t="s">
        <v>796</v>
      </c>
      <c r="E101" s="15" t="s">
        <v>797</v>
      </c>
      <c r="F101" s="18" t="str">
        <f>HYPERLINK("https://www.hataraku.metro.tokyo.lg.jp/shogai/josei/index.html","東京都中小企業障害者雇用環境整備奨励金")</f>
        <v>東京都中小企業障害者雇用環境整備奨励金</v>
      </c>
      <c r="G101" s="17" t="s">
        <v>719</v>
      </c>
      <c r="H101" s="17" t="s">
        <v>676</v>
      </c>
      <c r="I101" s="17" t="s">
        <v>80</v>
      </c>
      <c r="J101" s="17" t="s">
        <v>798</v>
      </c>
      <c r="K101" s="17" t="s">
        <v>304</v>
      </c>
      <c r="L101" s="17" t="s">
        <v>137</v>
      </c>
      <c r="M101" s="17" t="s">
        <v>138</v>
      </c>
      <c r="N101" s="17" t="s">
        <v>138</v>
      </c>
      <c r="O101" s="17" t="s">
        <v>799</v>
      </c>
      <c r="P101" s="17" t="s">
        <v>800</v>
      </c>
      <c r="Q101" s="15" t="s">
        <v>88</v>
      </c>
      <c r="R101" s="17" t="s">
        <v>102</v>
      </c>
      <c r="S101" s="15" t="s">
        <v>90</v>
      </c>
      <c r="T101" s="17" t="s">
        <v>789</v>
      </c>
      <c r="U101" s="16" t="s">
        <v>200</v>
      </c>
    </row>
    <row r="102" spans="1:21" ht="60" customHeight="1">
      <c r="A102" s="15">
        <v>98</v>
      </c>
      <c r="B102" s="19" t="s">
        <v>130</v>
      </c>
      <c r="C102" s="17" t="s">
        <v>131</v>
      </c>
      <c r="D102" s="17" t="s">
        <v>801</v>
      </c>
      <c r="E102" s="15" t="s">
        <v>797</v>
      </c>
      <c r="F102" s="18" t="str">
        <f>HYPERLINK("https://www.hataraku.metro.tokyo.lg.jp/shogai/josei/index.html","東京都難病・がん患者の治療と仕事の両立推進奨励金")</f>
        <v>東京都難病・がん患者の治療と仕事の両立推進奨励金</v>
      </c>
      <c r="G102" s="17" t="s">
        <v>719</v>
      </c>
      <c r="H102" s="17" t="s">
        <v>676</v>
      </c>
      <c r="I102" s="17" t="s">
        <v>80</v>
      </c>
      <c r="J102" s="17" t="s">
        <v>798</v>
      </c>
      <c r="K102" s="17" t="s">
        <v>304</v>
      </c>
      <c r="L102" s="17" t="s">
        <v>137</v>
      </c>
      <c r="M102" s="15" t="s">
        <v>124</v>
      </c>
      <c r="N102" s="15" t="s">
        <v>124</v>
      </c>
      <c r="O102" s="17" t="s">
        <v>802</v>
      </c>
      <c r="P102" s="17" t="s">
        <v>803</v>
      </c>
      <c r="Q102" s="15" t="s">
        <v>88</v>
      </c>
      <c r="R102" s="17" t="s">
        <v>102</v>
      </c>
      <c r="S102" s="15" t="s">
        <v>90</v>
      </c>
      <c r="T102" s="17" t="s">
        <v>497</v>
      </c>
      <c r="U102" s="16" t="s">
        <v>129</v>
      </c>
    </row>
    <row r="103" spans="1:21" ht="60" customHeight="1">
      <c r="A103" s="15">
        <v>99</v>
      </c>
      <c r="B103" s="22" t="s">
        <v>473</v>
      </c>
      <c r="C103" s="17" t="s">
        <v>474</v>
      </c>
      <c r="D103" s="17" t="s">
        <v>804</v>
      </c>
      <c r="E103" s="15" t="s">
        <v>805</v>
      </c>
      <c r="F103" s="18" t="str">
        <f>HYPERLINK("https://www.tokyo-co2down.jp/","クール・ネット東京 中小企業者向け省エネ・再エネ補助")</f>
        <v>クール・ネット東京 中小企業者向け省エネ・再エネ補助</v>
      </c>
      <c r="G103" s="17" t="s">
        <v>806</v>
      </c>
      <c r="H103" s="17" t="s">
        <v>676</v>
      </c>
      <c r="I103" s="17" t="s">
        <v>80</v>
      </c>
      <c r="J103" s="17" t="s">
        <v>708</v>
      </c>
      <c r="K103" s="17" t="s">
        <v>807</v>
      </c>
      <c r="L103" s="15" t="s">
        <v>808</v>
      </c>
      <c r="M103" s="15" t="s">
        <v>124</v>
      </c>
      <c r="N103" s="15" t="s">
        <v>124</v>
      </c>
      <c r="O103" s="17" t="s">
        <v>809</v>
      </c>
      <c r="P103" s="17" t="s">
        <v>810</v>
      </c>
      <c r="Q103" s="15" t="s">
        <v>222</v>
      </c>
      <c r="R103" s="17" t="s">
        <v>102</v>
      </c>
      <c r="S103" s="15" t="s">
        <v>90</v>
      </c>
      <c r="T103" s="17" t="s">
        <v>811</v>
      </c>
      <c r="U103" s="16" t="s">
        <v>129</v>
      </c>
    </row>
    <row r="104" spans="1:21" ht="60" customHeight="1">
      <c r="A104" s="15">
        <v>100</v>
      </c>
      <c r="B104" s="22" t="s">
        <v>473</v>
      </c>
      <c r="C104" s="17" t="s">
        <v>474</v>
      </c>
      <c r="D104" s="17" t="s">
        <v>812</v>
      </c>
      <c r="E104" s="15" t="s">
        <v>813</v>
      </c>
      <c r="F104" s="18" t="str">
        <f>HYPERLINK("https://www.tokyo-kosha.or.jp/support/josei/setsubijosei/tokuko.html","特別高圧電力・工業用LPガス支援金 第6回（東京都）")</f>
        <v>特別高圧電力・工業用LPガス支援金 第6回（東京都）</v>
      </c>
      <c r="G104" s="17" t="s">
        <v>675</v>
      </c>
      <c r="H104" s="17" t="s">
        <v>676</v>
      </c>
      <c r="I104" s="17" t="s">
        <v>814</v>
      </c>
      <c r="J104" s="17" t="s">
        <v>815</v>
      </c>
      <c r="K104" s="17" t="s">
        <v>816</v>
      </c>
      <c r="L104" s="17" t="s">
        <v>137</v>
      </c>
      <c r="M104" s="15" t="s">
        <v>817</v>
      </c>
      <c r="N104" s="15" t="s">
        <v>818</v>
      </c>
      <c r="O104" s="17" t="s">
        <v>819</v>
      </c>
      <c r="P104" s="17" t="s">
        <v>820</v>
      </c>
      <c r="Q104" s="15" t="s">
        <v>127</v>
      </c>
      <c r="R104" s="17" t="s">
        <v>89</v>
      </c>
      <c r="S104" s="15" t="s">
        <v>90</v>
      </c>
      <c r="T104" s="17" t="s">
        <v>821</v>
      </c>
      <c r="U104" s="16" t="s">
        <v>129</v>
      </c>
    </row>
    <row r="105" spans="1:21" ht="60" customHeight="1">
      <c r="A105" s="15">
        <v>101</v>
      </c>
      <c r="B105" s="21" t="s">
        <v>357</v>
      </c>
      <c r="C105" s="17" t="s">
        <v>396</v>
      </c>
      <c r="D105" s="17" t="s">
        <v>822</v>
      </c>
      <c r="E105" s="15" t="s">
        <v>823</v>
      </c>
      <c r="F105" s="18" t="str">
        <f>HYPERLINK("https://www.sangyo-rodo.metro.tokyo.lg.jp/chushou/shokogyo/seido/","東京都中小企業制度融資（創業・賃上げ等）")</f>
        <v>東京都中小企業制度融資（創業・賃上げ等）</v>
      </c>
      <c r="G105" s="17" t="s">
        <v>719</v>
      </c>
      <c r="H105" s="17" t="s">
        <v>676</v>
      </c>
      <c r="I105" s="17" t="s">
        <v>80</v>
      </c>
      <c r="J105" s="17" t="s">
        <v>708</v>
      </c>
      <c r="K105" s="17" t="s">
        <v>824</v>
      </c>
      <c r="L105" s="17" t="s">
        <v>825</v>
      </c>
      <c r="M105" s="17" t="s">
        <v>138</v>
      </c>
      <c r="N105" s="17" t="s">
        <v>138</v>
      </c>
      <c r="O105" s="17" t="s">
        <v>826</v>
      </c>
      <c r="P105" s="17" t="s">
        <v>827</v>
      </c>
      <c r="Q105" s="15" t="s">
        <v>213</v>
      </c>
      <c r="R105" s="17" t="s">
        <v>89</v>
      </c>
      <c r="S105" s="15" t="s">
        <v>90</v>
      </c>
      <c r="T105" s="17" t="s">
        <v>153</v>
      </c>
      <c r="U105" s="19" t="s">
        <v>138</v>
      </c>
    </row>
    <row r="106" spans="1:21" ht="60" customHeight="1">
      <c r="A106" s="15">
        <v>102</v>
      </c>
      <c r="B106" s="21" t="s">
        <v>357</v>
      </c>
      <c r="C106" s="17" t="s">
        <v>396</v>
      </c>
      <c r="D106" s="17" t="s">
        <v>828</v>
      </c>
      <c r="E106" s="15" t="s">
        <v>829</v>
      </c>
      <c r="F106" s="18" t="str">
        <f>HYPERLINK("https://www.sangyo-rodo.metro.tokyo.lg.jp/chushou/shokogyo/seido/josei/","東京都女性活躍推進融資（TOKYOウィメン・ビズ・サポート）")</f>
        <v>東京都女性活躍推進融資（TOKYOウィメン・ビズ・サポート）</v>
      </c>
      <c r="G106" s="17" t="s">
        <v>719</v>
      </c>
      <c r="H106" s="17" t="s">
        <v>676</v>
      </c>
      <c r="I106" s="17" t="s">
        <v>80</v>
      </c>
      <c r="J106" s="17" t="s">
        <v>830</v>
      </c>
      <c r="K106" s="17" t="s">
        <v>831</v>
      </c>
      <c r="L106" s="17" t="s">
        <v>832</v>
      </c>
      <c r="M106" s="17" t="s">
        <v>138</v>
      </c>
      <c r="N106" s="17" t="s">
        <v>138</v>
      </c>
      <c r="O106" s="17" t="s">
        <v>833</v>
      </c>
      <c r="P106" s="17" t="s">
        <v>834</v>
      </c>
      <c r="Q106" s="15" t="s">
        <v>88</v>
      </c>
      <c r="R106" s="17" t="s">
        <v>89</v>
      </c>
      <c r="S106" s="15" t="s">
        <v>90</v>
      </c>
      <c r="T106" s="17" t="s">
        <v>153</v>
      </c>
      <c r="U106" s="19" t="s">
        <v>138</v>
      </c>
    </row>
    <row r="107" spans="1:21" ht="60" customHeight="1">
      <c r="A107" s="15">
        <v>103</v>
      </c>
      <c r="B107" s="16" t="s">
        <v>74</v>
      </c>
      <c r="C107" s="17" t="s">
        <v>672</v>
      </c>
      <c r="D107" s="17" t="s">
        <v>835</v>
      </c>
      <c r="E107" s="15" t="s">
        <v>836</v>
      </c>
      <c r="F107" s="18" t="str">
        <f>HYPERLINK("https://www.ccjc-net.or.jp/category_list.php?frmCd=48-1-1-0-0","千葉県地域課題解決型起業支援事業補助金")</f>
        <v>千葉県地域課題解決型起業支援事業補助金</v>
      </c>
      <c r="G107" s="17" t="s">
        <v>837</v>
      </c>
      <c r="H107" s="17" t="s">
        <v>838</v>
      </c>
      <c r="I107" s="17" t="s">
        <v>80</v>
      </c>
      <c r="J107" s="17" t="s">
        <v>839</v>
      </c>
      <c r="K107" s="17" t="s">
        <v>840</v>
      </c>
      <c r="L107" s="15" t="s">
        <v>385</v>
      </c>
      <c r="M107" s="15" t="s">
        <v>702</v>
      </c>
      <c r="N107" s="15" t="s">
        <v>124</v>
      </c>
      <c r="O107" s="17" t="s">
        <v>841</v>
      </c>
      <c r="P107" s="17" t="s">
        <v>842</v>
      </c>
      <c r="Q107" s="15" t="s">
        <v>49</v>
      </c>
      <c r="R107" s="17" t="s">
        <v>102</v>
      </c>
      <c r="S107" s="15" t="s">
        <v>90</v>
      </c>
      <c r="T107" s="17" t="s">
        <v>843</v>
      </c>
      <c r="U107" s="16" t="s">
        <v>129</v>
      </c>
    </row>
    <row r="108" spans="1:21" ht="60" customHeight="1">
      <c r="A108" s="15">
        <v>104</v>
      </c>
      <c r="B108" s="16" t="s">
        <v>74</v>
      </c>
      <c r="C108" s="17" t="s">
        <v>672</v>
      </c>
      <c r="D108" s="17" t="s">
        <v>844</v>
      </c>
      <c r="E108" s="15" t="s">
        <v>845</v>
      </c>
      <c r="F108" s="18" t="str">
        <f>HYPERLINK("https://www.pref.kanagawa.jp/docs/jf2/seisansei/r7.html","神奈川県中小企業生産性向上促進事業費補助金（創業者成長支援枠）")</f>
        <v>神奈川県中小企業生産性向上促進事業費補助金（創業者成長支援枠）</v>
      </c>
      <c r="G108" s="17" t="s">
        <v>846</v>
      </c>
      <c r="H108" s="17" t="s">
        <v>846</v>
      </c>
      <c r="I108" s="17" t="s">
        <v>80</v>
      </c>
      <c r="J108" s="17" t="s">
        <v>847</v>
      </c>
      <c r="K108" s="17" t="s">
        <v>701</v>
      </c>
      <c r="L108" s="15" t="s">
        <v>385</v>
      </c>
      <c r="M108" s="15" t="s">
        <v>723</v>
      </c>
      <c r="N108" s="15" t="s">
        <v>848</v>
      </c>
      <c r="O108" s="17" t="s">
        <v>849</v>
      </c>
      <c r="P108" s="17" t="s">
        <v>850</v>
      </c>
      <c r="Q108" s="15" t="s">
        <v>49</v>
      </c>
      <c r="R108" s="17" t="s">
        <v>102</v>
      </c>
      <c r="S108" s="15" t="s">
        <v>90</v>
      </c>
      <c r="T108" s="17" t="s">
        <v>843</v>
      </c>
      <c r="U108" s="16" t="s">
        <v>129</v>
      </c>
    </row>
    <row r="109" spans="1:21" ht="60" customHeight="1">
      <c r="A109" s="15">
        <v>105</v>
      </c>
      <c r="B109" s="19" t="s">
        <v>130</v>
      </c>
      <c r="C109" s="17" t="s">
        <v>131</v>
      </c>
      <c r="D109" s="17" t="s">
        <v>851</v>
      </c>
      <c r="E109" s="15" t="s">
        <v>852</v>
      </c>
      <c r="F109" s="18" t="str">
        <f>HYPERLINK("https://www.pref.saitama.lg.jp/a0809/syougakukinhennkann.html","埼玉県中小企業等奨学金返還支援補助金")</f>
        <v>埼玉県中小企業等奨学金返還支援補助金</v>
      </c>
      <c r="G109" s="17" t="s">
        <v>853</v>
      </c>
      <c r="H109" s="17" t="s">
        <v>853</v>
      </c>
      <c r="I109" s="17" t="s">
        <v>80</v>
      </c>
      <c r="J109" s="17" t="s">
        <v>854</v>
      </c>
      <c r="K109" s="15" t="s">
        <v>855</v>
      </c>
      <c r="L109" s="17" t="s">
        <v>332</v>
      </c>
      <c r="M109" s="15" t="s">
        <v>124</v>
      </c>
      <c r="N109" s="15" t="s">
        <v>124</v>
      </c>
      <c r="O109" s="17" t="s">
        <v>856</v>
      </c>
      <c r="P109" s="17" t="s">
        <v>857</v>
      </c>
      <c r="Q109" s="15" t="s">
        <v>88</v>
      </c>
      <c r="R109" s="17" t="s">
        <v>102</v>
      </c>
      <c r="S109" s="15" t="s">
        <v>90</v>
      </c>
      <c r="T109" s="17" t="s">
        <v>843</v>
      </c>
      <c r="U109" s="16" t="s">
        <v>129</v>
      </c>
    </row>
    <row r="110" spans="1:21" ht="60" customHeight="1">
      <c r="A110" s="15">
        <v>106</v>
      </c>
      <c r="B110" s="22" t="s">
        <v>473</v>
      </c>
      <c r="C110" s="17" t="s">
        <v>474</v>
      </c>
      <c r="D110" s="17" t="s">
        <v>858</v>
      </c>
      <c r="E110" s="15" t="s">
        <v>859</v>
      </c>
      <c r="F110" s="18" t="str">
        <f>HYPERLINK("https://www.pref.saitama.lg.jp/a0502/co2haisyutsu_setsubidonyu.html","埼玉県民間事業者CO2排出削減設備導入補助金【緊急対策枠】")</f>
        <v>埼玉県民間事業者CO2排出削減設備導入補助金【緊急対策枠】</v>
      </c>
      <c r="G110" s="17" t="s">
        <v>853</v>
      </c>
      <c r="H110" s="17" t="s">
        <v>853</v>
      </c>
      <c r="I110" s="17" t="s">
        <v>80</v>
      </c>
      <c r="J110" s="17" t="s">
        <v>860</v>
      </c>
      <c r="K110" s="17" t="s">
        <v>304</v>
      </c>
      <c r="L110" s="15" t="s">
        <v>324</v>
      </c>
      <c r="M110" s="15" t="s">
        <v>702</v>
      </c>
      <c r="N110" s="15" t="s">
        <v>124</v>
      </c>
      <c r="O110" s="15" t="s">
        <v>861</v>
      </c>
      <c r="P110" s="17" t="s">
        <v>862</v>
      </c>
      <c r="Q110" s="15" t="s">
        <v>88</v>
      </c>
      <c r="R110" s="17" t="s">
        <v>102</v>
      </c>
      <c r="S110" s="15" t="s">
        <v>90</v>
      </c>
      <c r="T110" s="17" t="s">
        <v>843</v>
      </c>
      <c r="U110" s="16" t="s">
        <v>129</v>
      </c>
    </row>
    <row r="111" spans="1:21" ht="60" customHeight="1">
      <c r="A111" s="15">
        <v>107</v>
      </c>
      <c r="B111" s="19" t="s">
        <v>130</v>
      </c>
      <c r="C111" s="17" t="s">
        <v>131</v>
      </c>
      <c r="D111" s="17" t="s">
        <v>863</v>
      </c>
      <c r="E111" s="15" t="s">
        <v>864</v>
      </c>
      <c r="F111" s="18" t="str">
        <f>HYPERLINK("https://www.pref.saitama.lg.jp/shigoto/sangyo/kigyo/kigyoshien/index.html","埼玉県中小企業人手不足対応支援事業補助金（R8継続見込み）")</f>
        <v>埼玉県中小企業人手不足対応支援事業補助金（R8継続見込み）</v>
      </c>
      <c r="G111" s="17" t="s">
        <v>853</v>
      </c>
      <c r="H111" s="17" t="s">
        <v>853</v>
      </c>
      <c r="I111" s="17" t="s">
        <v>80</v>
      </c>
      <c r="J111" s="17" t="s">
        <v>865</v>
      </c>
      <c r="K111" s="17" t="s">
        <v>304</v>
      </c>
      <c r="L111" s="17" t="s">
        <v>304</v>
      </c>
      <c r="M111" s="17" t="s">
        <v>304</v>
      </c>
      <c r="N111" s="17" t="s">
        <v>304</v>
      </c>
      <c r="O111" s="17" t="s">
        <v>866</v>
      </c>
      <c r="P111" s="17" t="s">
        <v>867</v>
      </c>
      <c r="Q111" s="15" t="s">
        <v>88</v>
      </c>
      <c r="R111" s="17" t="s">
        <v>102</v>
      </c>
      <c r="S111" s="15" t="s">
        <v>90</v>
      </c>
      <c r="T111" s="17" t="s">
        <v>843</v>
      </c>
      <c r="U111" s="16" t="s">
        <v>129</v>
      </c>
    </row>
    <row r="112" spans="1:21" ht="60" customHeight="1">
      <c r="A112" s="15">
        <v>108</v>
      </c>
      <c r="B112" s="19" t="s">
        <v>130</v>
      </c>
      <c r="C112" s="17" t="s">
        <v>215</v>
      </c>
      <c r="D112" s="17" t="s">
        <v>868</v>
      </c>
      <c r="E112" s="15" t="s">
        <v>869</v>
      </c>
      <c r="F112" s="18" t="str">
        <f>HYPERLINK("https://www.pref.hokkaido.lg.jp/kz/csk/249117.html","北海道中小・小規模事業者賃上げ環境整備支援補助金")</f>
        <v>北海道中小・小規模事業者賃上げ環境整備支援補助金</v>
      </c>
      <c r="G112" s="17" t="s">
        <v>870</v>
      </c>
      <c r="H112" s="17" t="s">
        <v>870</v>
      </c>
      <c r="I112" s="17" t="s">
        <v>80</v>
      </c>
      <c r="J112" s="17" t="s">
        <v>871</v>
      </c>
      <c r="K112" s="15" t="s">
        <v>872</v>
      </c>
      <c r="L112" s="15" t="s">
        <v>873</v>
      </c>
      <c r="M112" s="17" t="s">
        <v>304</v>
      </c>
      <c r="N112" s="17" t="s">
        <v>304</v>
      </c>
      <c r="O112" s="17" t="s">
        <v>874</v>
      </c>
      <c r="P112" s="17" t="s">
        <v>875</v>
      </c>
      <c r="Q112" s="15" t="s">
        <v>247</v>
      </c>
      <c r="R112" s="17" t="s">
        <v>102</v>
      </c>
      <c r="S112" s="15" t="s">
        <v>90</v>
      </c>
      <c r="T112" s="17" t="s">
        <v>843</v>
      </c>
      <c r="U112" s="16" t="s">
        <v>129</v>
      </c>
    </row>
    <row r="113" spans="1:21" ht="60" customHeight="1">
      <c r="A113" s="15">
        <v>109</v>
      </c>
      <c r="B113" s="19" t="s">
        <v>130</v>
      </c>
      <c r="C113" s="17" t="s">
        <v>131</v>
      </c>
      <c r="D113" s="17" t="s">
        <v>876</v>
      </c>
      <c r="E113" s="15" t="s">
        <v>877</v>
      </c>
      <c r="F113" s="18" t="str">
        <f>HYPERLINK("https://www.mhlw.go.jp/stf/seisakunitsuite/bunya/koyou_roudou/koyou/jigyounushi/page04_00018.html","通年雇用助成金（北海道含む積雪・寒冷地特例）")</f>
        <v>通年雇用助成金（北海道含む積雪・寒冷地特例）</v>
      </c>
      <c r="G113" s="17" t="s">
        <v>134</v>
      </c>
      <c r="H113" s="17" t="s">
        <v>878</v>
      </c>
      <c r="I113" s="17" t="s">
        <v>879</v>
      </c>
      <c r="J113" s="17" t="s">
        <v>880</v>
      </c>
      <c r="K113" s="15" t="s">
        <v>881</v>
      </c>
      <c r="L113" s="17" t="s">
        <v>137</v>
      </c>
      <c r="M113" s="17" t="s">
        <v>138</v>
      </c>
      <c r="N113" s="17" t="s">
        <v>138</v>
      </c>
      <c r="O113" s="17" t="s">
        <v>882</v>
      </c>
      <c r="P113" s="17" t="s">
        <v>883</v>
      </c>
      <c r="Q113" s="15" t="s">
        <v>88</v>
      </c>
      <c r="R113" s="17" t="s">
        <v>102</v>
      </c>
      <c r="S113" s="15" t="s">
        <v>90</v>
      </c>
      <c r="T113" s="17" t="s">
        <v>884</v>
      </c>
      <c r="U113" s="19" t="s">
        <v>602</v>
      </c>
    </row>
    <row r="114" spans="1:21" ht="60" customHeight="1">
      <c r="A114" s="15">
        <v>110</v>
      </c>
      <c r="B114" s="16" t="s">
        <v>74</v>
      </c>
      <c r="C114" s="17" t="s">
        <v>672</v>
      </c>
      <c r="D114" s="17" t="s">
        <v>885</v>
      </c>
      <c r="E114" s="15" t="s">
        <v>886</v>
      </c>
      <c r="F114" s="18" t="str">
        <f>HYPERLINK("https://www.hsc.or.jp/","北海道中小企業新応援ファンド事業（2026年度）")</f>
        <v>北海道中小企業新応援ファンド事業（2026年度）</v>
      </c>
      <c r="G114" s="17" t="s">
        <v>887</v>
      </c>
      <c r="H114" s="17" t="s">
        <v>870</v>
      </c>
      <c r="I114" s="17" t="s">
        <v>80</v>
      </c>
      <c r="J114" s="17" t="s">
        <v>888</v>
      </c>
      <c r="K114" s="17" t="s">
        <v>304</v>
      </c>
      <c r="L114" s="17" t="s">
        <v>304</v>
      </c>
      <c r="M114" s="17" t="s">
        <v>304</v>
      </c>
      <c r="N114" s="17" t="s">
        <v>304</v>
      </c>
      <c r="O114" s="17" t="s">
        <v>889</v>
      </c>
      <c r="P114" s="17" t="s">
        <v>890</v>
      </c>
      <c r="Q114" s="15" t="s">
        <v>152</v>
      </c>
      <c r="R114" s="17" t="s">
        <v>102</v>
      </c>
      <c r="S114" s="15" t="s">
        <v>90</v>
      </c>
      <c r="T114" s="17" t="s">
        <v>843</v>
      </c>
      <c r="U114" s="16" t="s">
        <v>129</v>
      </c>
    </row>
    <row r="115" spans="1:21" ht="60" customHeight="1">
      <c r="A115" s="15">
        <v>111</v>
      </c>
      <c r="B115" s="22" t="s">
        <v>473</v>
      </c>
      <c r="C115" s="17" t="s">
        <v>474</v>
      </c>
      <c r="D115" s="17" t="s">
        <v>891</v>
      </c>
      <c r="E115" s="15" t="s">
        <v>892</v>
      </c>
      <c r="F115" s="18" t="str">
        <f>HYPERLINK("https://www.pref.hiroshima.lg.jp/site/eco/shoenehojokin-r8.html","広島県中小企業省エネ設備等導入支援補助金")</f>
        <v>広島県中小企業省エネ設備等導入支援補助金</v>
      </c>
      <c r="G115" s="17" t="s">
        <v>893</v>
      </c>
      <c r="H115" s="17" t="s">
        <v>893</v>
      </c>
      <c r="I115" s="17" t="s">
        <v>80</v>
      </c>
      <c r="J115" s="17" t="s">
        <v>894</v>
      </c>
      <c r="K115" s="17" t="s">
        <v>122</v>
      </c>
      <c r="L115" s="15" t="s">
        <v>895</v>
      </c>
      <c r="M115" s="15" t="s">
        <v>124</v>
      </c>
      <c r="N115" s="15" t="s">
        <v>124</v>
      </c>
      <c r="O115" s="17" t="s">
        <v>896</v>
      </c>
      <c r="P115" s="17" t="s">
        <v>897</v>
      </c>
      <c r="Q115" s="15" t="s">
        <v>88</v>
      </c>
      <c r="R115" s="17" t="s">
        <v>102</v>
      </c>
      <c r="S115" s="15" t="s">
        <v>90</v>
      </c>
      <c r="T115" s="17" t="s">
        <v>843</v>
      </c>
      <c r="U115" s="16" t="s">
        <v>129</v>
      </c>
    </row>
    <row r="116" spans="1:21" ht="60" customHeight="1">
      <c r="A116" s="15">
        <v>112</v>
      </c>
      <c r="B116" s="16" t="s">
        <v>74</v>
      </c>
      <c r="C116" s="17" t="s">
        <v>672</v>
      </c>
      <c r="D116" s="17" t="s">
        <v>898</v>
      </c>
      <c r="E116" s="15" t="s">
        <v>899</v>
      </c>
      <c r="F116" s="18" t="str">
        <f>HYPERLINK("https://www.hiwave.or.jp/purpose1/subsidy/","中小・ベンチャー企業チャレンジ応援事業助成金（広島県）")</f>
        <v>中小・ベンチャー企業チャレンジ応援事業助成金（広島県）</v>
      </c>
      <c r="G116" s="17" t="s">
        <v>900</v>
      </c>
      <c r="H116" s="17" t="s">
        <v>893</v>
      </c>
      <c r="I116" s="17" t="s">
        <v>80</v>
      </c>
      <c r="J116" s="17" t="s">
        <v>901</v>
      </c>
      <c r="K116" s="17" t="s">
        <v>304</v>
      </c>
      <c r="L116" s="17" t="s">
        <v>304</v>
      </c>
      <c r="M116" s="15" t="s">
        <v>124</v>
      </c>
      <c r="N116" s="15" t="s">
        <v>124</v>
      </c>
      <c r="O116" s="17" t="s">
        <v>889</v>
      </c>
      <c r="P116" s="17" t="s">
        <v>902</v>
      </c>
      <c r="Q116" s="15" t="s">
        <v>152</v>
      </c>
      <c r="R116" s="17" t="s">
        <v>102</v>
      </c>
      <c r="S116" s="15" t="s">
        <v>90</v>
      </c>
      <c r="T116" s="17" t="s">
        <v>843</v>
      </c>
      <c r="U116" s="16" t="s">
        <v>129</v>
      </c>
    </row>
    <row r="117" spans="1:21" ht="60" customHeight="1">
      <c r="A117" s="15">
        <v>113</v>
      </c>
      <c r="B117" s="16" t="s">
        <v>74</v>
      </c>
      <c r="C117" s="17" t="s">
        <v>657</v>
      </c>
      <c r="D117" s="17" t="s">
        <v>903</v>
      </c>
      <c r="E117" s="15" t="s">
        <v>904</v>
      </c>
      <c r="F117" s="18" t="str">
        <f>HYPERLINK("https://www.pref.hiroshima.lg.jp/soshiki/70/","広島県BCP策定等支援事業")</f>
        <v>広島県BCP策定等支援事業</v>
      </c>
      <c r="G117" s="17" t="s">
        <v>893</v>
      </c>
      <c r="H117" s="17" t="s">
        <v>893</v>
      </c>
      <c r="I117" s="17" t="s">
        <v>80</v>
      </c>
      <c r="J117" s="17" t="s">
        <v>894</v>
      </c>
      <c r="K117" s="17" t="s">
        <v>304</v>
      </c>
      <c r="L117" s="17" t="s">
        <v>304</v>
      </c>
      <c r="M117" s="15" t="s">
        <v>124</v>
      </c>
      <c r="N117" s="15" t="s">
        <v>124</v>
      </c>
      <c r="O117" s="15" t="s">
        <v>905</v>
      </c>
      <c r="P117" s="17" t="s">
        <v>906</v>
      </c>
      <c r="Q117" s="15" t="s">
        <v>88</v>
      </c>
      <c r="R117" s="17" t="s">
        <v>102</v>
      </c>
      <c r="S117" s="15" t="s">
        <v>90</v>
      </c>
      <c r="T117" s="17" t="s">
        <v>843</v>
      </c>
      <c r="U117" s="16" t="s">
        <v>129</v>
      </c>
    </row>
    <row r="118" spans="1:21" ht="60" customHeight="1">
      <c r="A118" s="15">
        <v>114</v>
      </c>
      <c r="B118" s="19" t="s">
        <v>130</v>
      </c>
      <c r="C118" s="17" t="s">
        <v>215</v>
      </c>
      <c r="D118" s="17" t="s">
        <v>907</v>
      </c>
      <c r="E118" s="15" t="s">
        <v>908</v>
      </c>
      <c r="F118" s="18" t="str">
        <f>HYPERLINK("https://www.pref.fukuoka.lg.jp/contents/productivity-improvement-subsidy-2025-26.html","福岡県中小企業生産性向上・賃上げ緊急支援補助金")</f>
        <v>福岡県中小企業生産性向上・賃上げ緊急支援補助金</v>
      </c>
      <c r="G118" s="17" t="s">
        <v>909</v>
      </c>
      <c r="H118" s="17" t="s">
        <v>909</v>
      </c>
      <c r="I118" s="17" t="s">
        <v>80</v>
      </c>
      <c r="J118" s="17" t="s">
        <v>894</v>
      </c>
      <c r="K118" s="17" t="s">
        <v>304</v>
      </c>
      <c r="L118" s="17" t="s">
        <v>304</v>
      </c>
      <c r="M118" s="15" t="s">
        <v>124</v>
      </c>
      <c r="N118" s="15" t="s">
        <v>124</v>
      </c>
      <c r="O118" s="15" t="s">
        <v>910</v>
      </c>
      <c r="P118" s="17" t="s">
        <v>911</v>
      </c>
      <c r="Q118" s="15" t="s">
        <v>222</v>
      </c>
      <c r="R118" s="17" t="s">
        <v>102</v>
      </c>
      <c r="S118" s="15" t="s">
        <v>90</v>
      </c>
      <c r="T118" s="17" t="s">
        <v>843</v>
      </c>
      <c r="U118" s="16" t="s">
        <v>129</v>
      </c>
    </row>
    <row r="119" spans="1:21" ht="60" customHeight="1">
      <c r="A119" s="15">
        <v>115</v>
      </c>
      <c r="B119" s="16" t="s">
        <v>74</v>
      </c>
      <c r="C119" s="17" t="s">
        <v>657</v>
      </c>
      <c r="D119" s="17" t="s">
        <v>912</v>
      </c>
      <c r="E119" s="15" t="s">
        <v>913</v>
      </c>
      <c r="F119" s="18" t="str">
        <f>HYPERLINK("https://www.joho-fukuoka.or.jp/chinage/index.html","福岡県中小企業経営革新・賃上げ緊急支援補助金")</f>
        <v>福岡県中小企業経営革新・賃上げ緊急支援補助金</v>
      </c>
      <c r="G119" s="17" t="s">
        <v>909</v>
      </c>
      <c r="H119" s="17" t="s">
        <v>909</v>
      </c>
      <c r="I119" s="17" t="s">
        <v>80</v>
      </c>
      <c r="J119" s="17" t="s">
        <v>914</v>
      </c>
      <c r="K119" s="17" t="s">
        <v>304</v>
      </c>
      <c r="L119" s="17" t="s">
        <v>304</v>
      </c>
      <c r="M119" s="15" t="s">
        <v>124</v>
      </c>
      <c r="N119" s="15" t="s">
        <v>124</v>
      </c>
      <c r="O119" s="17" t="s">
        <v>915</v>
      </c>
      <c r="P119" s="17" t="s">
        <v>916</v>
      </c>
      <c r="Q119" s="15" t="s">
        <v>88</v>
      </c>
      <c r="R119" s="17" t="s">
        <v>102</v>
      </c>
      <c r="S119" s="15" t="s">
        <v>90</v>
      </c>
      <c r="T119" s="17" t="s">
        <v>843</v>
      </c>
      <c r="U119" s="16" t="s">
        <v>129</v>
      </c>
    </row>
    <row r="120" spans="1:21" ht="60" customHeight="1">
      <c r="A120" s="15">
        <v>116</v>
      </c>
      <c r="B120" s="16" t="s">
        <v>74</v>
      </c>
      <c r="C120" s="17" t="s">
        <v>672</v>
      </c>
      <c r="D120" s="17" t="s">
        <v>917</v>
      </c>
      <c r="E120" s="15" t="s">
        <v>918</v>
      </c>
      <c r="F120" s="18" t="str">
        <f>HYPERLINK("https://fy-kigyo.com/","福岡よかとこ起業支援金")</f>
        <v>福岡よかとこ起業支援金</v>
      </c>
      <c r="G120" s="17" t="s">
        <v>909</v>
      </c>
      <c r="H120" s="17" t="s">
        <v>909</v>
      </c>
      <c r="I120" s="17" t="s">
        <v>80</v>
      </c>
      <c r="J120" s="17" t="s">
        <v>919</v>
      </c>
      <c r="K120" s="17" t="s">
        <v>840</v>
      </c>
      <c r="L120" s="15" t="s">
        <v>385</v>
      </c>
      <c r="M120" s="15" t="s">
        <v>124</v>
      </c>
      <c r="N120" s="15" t="s">
        <v>124</v>
      </c>
      <c r="O120" s="17" t="s">
        <v>920</v>
      </c>
      <c r="P120" s="17" t="s">
        <v>921</v>
      </c>
      <c r="Q120" s="15" t="s">
        <v>49</v>
      </c>
      <c r="R120" s="17" t="s">
        <v>102</v>
      </c>
      <c r="S120" s="15" t="s">
        <v>90</v>
      </c>
      <c r="T120" s="17" t="s">
        <v>843</v>
      </c>
      <c r="U120" s="16" t="s">
        <v>129</v>
      </c>
    </row>
    <row r="121" spans="1:21" ht="60" customHeight="1">
      <c r="A121" s="15">
        <v>117</v>
      </c>
      <c r="B121" s="16" t="s">
        <v>74</v>
      </c>
      <c r="C121" s="17" t="s">
        <v>672</v>
      </c>
      <c r="D121" s="17" t="s">
        <v>922</v>
      </c>
      <c r="E121" s="15" t="s">
        <v>923</v>
      </c>
      <c r="F121" s="18" t="str">
        <f>HYPERLINK("https://www.pref.okinawa.jp/shigoto/shien/1010056/1022724/1010103.html","沖縄県スタートアップ起業支援金")</f>
        <v>沖縄県スタートアップ起業支援金</v>
      </c>
      <c r="G121" s="17" t="s">
        <v>605</v>
      </c>
      <c r="H121" s="17" t="s">
        <v>605</v>
      </c>
      <c r="I121" s="17" t="s">
        <v>924</v>
      </c>
      <c r="J121" s="17" t="s">
        <v>919</v>
      </c>
      <c r="K121" s="17" t="s">
        <v>840</v>
      </c>
      <c r="L121" s="15" t="s">
        <v>385</v>
      </c>
      <c r="M121" s="15" t="s">
        <v>124</v>
      </c>
      <c r="N121" s="15" t="s">
        <v>124</v>
      </c>
      <c r="O121" s="17" t="s">
        <v>925</v>
      </c>
      <c r="P121" s="17" t="s">
        <v>926</v>
      </c>
      <c r="Q121" s="15" t="s">
        <v>49</v>
      </c>
      <c r="R121" s="17" t="s">
        <v>102</v>
      </c>
      <c r="S121" s="15" t="s">
        <v>90</v>
      </c>
      <c r="T121" s="17" t="s">
        <v>843</v>
      </c>
      <c r="U121" s="16" t="s">
        <v>129</v>
      </c>
    </row>
    <row r="122" spans="1:21" ht="60" customHeight="1">
      <c r="A122" s="15">
        <v>118</v>
      </c>
      <c r="B122" s="16" t="s">
        <v>74</v>
      </c>
      <c r="C122" s="17" t="s">
        <v>657</v>
      </c>
      <c r="D122" s="17" t="s">
        <v>927</v>
      </c>
      <c r="E122" s="15" t="s">
        <v>928</v>
      </c>
      <c r="F122" s="18" t="str">
        <f>HYPERLINK("https://www.pref.okinawa.lg.jp/shigoto/shien/1010056/1022723/1010107.html","中小企業等経営革新強化支援事業費補助金（沖縄県）")</f>
        <v>中小企業等経営革新強化支援事業費補助金（沖縄県）</v>
      </c>
      <c r="G122" s="17" t="s">
        <v>605</v>
      </c>
      <c r="H122" s="17" t="s">
        <v>605</v>
      </c>
      <c r="I122" s="17" t="s">
        <v>929</v>
      </c>
      <c r="J122" s="17" t="s">
        <v>894</v>
      </c>
      <c r="K122" s="17" t="s">
        <v>304</v>
      </c>
      <c r="L122" s="17" t="s">
        <v>304</v>
      </c>
      <c r="M122" s="15" t="s">
        <v>124</v>
      </c>
      <c r="N122" s="15" t="s">
        <v>124</v>
      </c>
      <c r="O122" s="17" t="s">
        <v>930</v>
      </c>
      <c r="P122" s="17" t="s">
        <v>931</v>
      </c>
      <c r="Q122" s="15" t="s">
        <v>88</v>
      </c>
      <c r="R122" s="17" t="s">
        <v>102</v>
      </c>
      <c r="S122" s="15" t="s">
        <v>90</v>
      </c>
      <c r="T122" s="17" t="s">
        <v>843</v>
      </c>
      <c r="U122" s="16" t="s">
        <v>129</v>
      </c>
    </row>
    <row r="123" spans="1:21" ht="60" customHeight="1">
      <c r="A123" s="15">
        <v>119</v>
      </c>
      <c r="B123" s="21" t="s">
        <v>357</v>
      </c>
      <c r="C123" s="17" t="s">
        <v>396</v>
      </c>
      <c r="D123" s="17" t="s">
        <v>932</v>
      </c>
      <c r="E123" s="15" t="s">
        <v>933</v>
      </c>
      <c r="F123" s="18" t="str">
        <f>HYPERLINK("https://100support.okinawa/","沖縄振興開発金融公庫 創業者支援資金")</f>
        <v>沖縄振興開発金融公庫 創業者支援資金</v>
      </c>
      <c r="G123" s="17" t="s">
        <v>934</v>
      </c>
      <c r="H123" s="17" t="s">
        <v>605</v>
      </c>
      <c r="I123" s="17" t="s">
        <v>80</v>
      </c>
      <c r="J123" s="17" t="s">
        <v>839</v>
      </c>
      <c r="K123" s="17" t="s">
        <v>935</v>
      </c>
      <c r="L123" s="17" t="s">
        <v>332</v>
      </c>
      <c r="M123" s="17" t="s">
        <v>138</v>
      </c>
      <c r="N123" s="17" t="s">
        <v>138</v>
      </c>
      <c r="O123" s="17" t="s">
        <v>936</v>
      </c>
      <c r="P123" s="17" t="s">
        <v>937</v>
      </c>
      <c r="Q123" s="15" t="s">
        <v>49</v>
      </c>
      <c r="R123" s="17" t="s">
        <v>102</v>
      </c>
      <c r="S123" s="15" t="s">
        <v>90</v>
      </c>
      <c r="T123" s="17" t="s">
        <v>938</v>
      </c>
      <c r="U123" s="19" t="s">
        <v>611</v>
      </c>
    </row>
    <row r="124" spans="1:21" ht="60" customHeight="1">
      <c r="A124" s="15">
        <v>120</v>
      </c>
      <c r="B124" s="16" t="s">
        <v>74</v>
      </c>
      <c r="C124" s="17" t="s">
        <v>75</v>
      </c>
      <c r="D124" s="17" t="s">
        <v>939</v>
      </c>
      <c r="E124" s="15" t="s">
        <v>940</v>
      </c>
      <c r="F124" s="18" t="str">
        <f>HYPERLINK("https://www.pref.wakayama.lg.jp/prefg/060100/","和歌山県中小企業対策（県設備投資・賃上げ等補助金）")</f>
        <v>和歌山県中小企業対策（県設備投資・賃上げ等補助金）</v>
      </c>
      <c r="G124" s="17" t="s">
        <v>941</v>
      </c>
      <c r="H124" s="17" t="s">
        <v>941</v>
      </c>
      <c r="I124" s="17" t="s">
        <v>80</v>
      </c>
      <c r="J124" s="17" t="s">
        <v>894</v>
      </c>
      <c r="K124" s="17" t="s">
        <v>304</v>
      </c>
      <c r="L124" s="17" t="s">
        <v>304</v>
      </c>
      <c r="M124" s="15" t="s">
        <v>124</v>
      </c>
      <c r="N124" s="15" t="s">
        <v>124</v>
      </c>
      <c r="O124" s="17" t="s">
        <v>942</v>
      </c>
      <c r="P124" s="17" t="s">
        <v>943</v>
      </c>
      <c r="Q124" s="15" t="s">
        <v>222</v>
      </c>
      <c r="R124" s="17" t="s">
        <v>102</v>
      </c>
      <c r="S124" s="15" t="s">
        <v>90</v>
      </c>
      <c r="T124" s="17" t="s">
        <v>843</v>
      </c>
      <c r="U124" s="16" t="s">
        <v>129</v>
      </c>
    </row>
    <row r="125" spans="1:21" ht="60" customHeight="1">
      <c r="A125" s="15">
        <v>121</v>
      </c>
      <c r="B125" s="16" t="s">
        <v>74</v>
      </c>
      <c r="C125" s="17" t="s">
        <v>117</v>
      </c>
      <c r="D125" s="17" t="s">
        <v>944</v>
      </c>
      <c r="E125" s="15" t="s">
        <v>945</v>
      </c>
      <c r="F125" s="18" t="str">
        <f>HYPERLINK("https://www.tokyo-kosha.or.jp/support/josei/jigyo/tenjikai/r8/index.html","東京都 展示会出展助成事業（令和8年度）")</f>
        <v>東京都 展示会出展助成事業（令和8年度）</v>
      </c>
      <c r="G125" s="17" t="s">
        <v>675</v>
      </c>
      <c r="H125" s="17" t="s">
        <v>676</v>
      </c>
      <c r="I125" s="17" t="s">
        <v>80</v>
      </c>
      <c r="J125" s="17" t="s">
        <v>946</v>
      </c>
      <c r="K125" s="17" t="s">
        <v>947</v>
      </c>
      <c r="L125" s="15" t="s">
        <v>123</v>
      </c>
      <c r="M125" s="15" t="s">
        <v>948</v>
      </c>
      <c r="N125" s="15" t="s">
        <v>949</v>
      </c>
      <c r="O125" s="17" t="s">
        <v>950</v>
      </c>
      <c r="P125" s="17" t="s">
        <v>951</v>
      </c>
      <c r="Q125" s="15" t="s">
        <v>247</v>
      </c>
      <c r="R125" s="17" t="s">
        <v>89</v>
      </c>
      <c r="S125" s="15" t="s">
        <v>90</v>
      </c>
      <c r="T125" s="17" t="s">
        <v>952</v>
      </c>
      <c r="U125" s="16" t="s">
        <v>129</v>
      </c>
    </row>
    <row r="126" spans="1:21" ht="60" customHeight="1">
      <c r="A126" s="15">
        <v>122</v>
      </c>
      <c r="B126" s="16" t="s">
        <v>74</v>
      </c>
      <c r="C126" s="17" t="s">
        <v>117</v>
      </c>
      <c r="D126" s="17" t="s">
        <v>953</v>
      </c>
      <c r="E126" s="15" t="s">
        <v>954</v>
      </c>
      <c r="F126" s="18" t="str">
        <f>HYPERLINK("https://www.kipc.or.jp/topics/information/domestic-expo-support-2026/","神奈川県 県内企業の国内展示会への出展支援（令和8年度）")</f>
        <v>神奈川県 県内企業の国内展示会への出展支援（令和8年度）</v>
      </c>
      <c r="G126" s="17" t="s">
        <v>955</v>
      </c>
      <c r="H126" s="17" t="s">
        <v>846</v>
      </c>
      <c r="I126" s="17" t="s">
        <v>80</v>
      </c>
      <c r="J126" s="17" t="s">
        <v>894</v>
      </c>
      <c r="K126" s="17" t="s">
        <v>956</v>
      </c>
      <c r="L126" s="15" t="s">
        <v>385</v>
      </c>
      <c r="M126" s="15" t="s">
        <v>948</v>
      </c>
      <c r="N126" s="15" t="s">
        <v>957</v>
      </c>
      <c r="O126" s="17" t="s">
        <v>958</v>
      </c>
      <c r="P126" s="17" t="s">
        <v>959</v>
      </c>
      <c r="Q126" s="15" t="s">
        <v>247</v>
      </c>
      <c r="R126" s="17" t="s">
        <v>89</v>
      </c>
      <c r="S126" s="15" t="s">
        <v>90</v>
      </c>
      <c r="T126" s="17" t="s">
        <v>843</v>
      </c>
      <c r="U126" s="16" t="s">
        <v>129</v>
      </c>
    </row>
    <row r="127" spans="1:21" ht="60" customHeight="1">
      <c r="A127" s="15">
        <v>123</v>
      </c>
      <c r="B127" s="16" t="s">
        <v>74</v>
      </c>
      <c r="C127" s="17" t="s">
        <v>117</v>
      </c>
      <c r="D127" s="17" t="s">
        <v>960</v>
      </c>
      <c r="E127" s="15" t="s">
        <v>961</v>
      </c>
      <c r="F127" s="18" t="str">
        <f>HYPERLINK("https://www.kipc.or.jp/","神奈川県 海外展示会出展に関する助成金（令和8年度）")</f>
        <v>神奈川県 海外展示会出展に関する助成金（令和8年度）</v>
      </c>
      <c r="G127" s="17" t="s">
        <v>955</v>
      </c>
      <c r="H127" s="17" t="s">
        <v>846</v>
      </c>
      <c r="I127" s="17" t="s">
        <v>80</v>
      </c>
      <c r="J127" s="17" t="s">
        <v>894</v>
      </c>
      <c r="K127" s="17" t="s">
        <v>304</v>
      </c>
      <c r="L127" s="17" t="s">
        <v>304</v>
      </c>
      <c r="M127" s="15" t="s">
        <v>124</v>
      </c>
      <c r="N127" s="15" t="s">
        <v>124</v>
      </c>
      <c r="O127" s="17" t="s">
        <v>962</v>
      </c>
      <c r="P127" s="17" t="s">
        <v>963</v>
      </c>
      <c r="Q127" s="15" t="s">
        <v>127</v>
      </c>
      <c r="R127" s="17" t="s">
        <v>102</v>
      </c>
      <c r="S127" s="15" t="s">
        <v>90</v>
      </c>
      <c r="T127" s="17" t="s">
        <v>843</v>
      </c>
      <c r="U127" s="16" t="s">
        <v>129</v>
      </c>
    </row>
    <row r="128" spans="1:21" ht="60" customHeight="1">
      <c r="A128" s="15">
        <v>124</v>
      </c>
      <c r="B128" s="22" t="s">
        <v>473</v>
      </c>
      <c r="C128" s="17" t="s">
        <v>474</v>
      </c>
      <c r="D128" s="17" t="s">
        <v>964</v>
      </c>
      <c r="E128" s="15" t="s">
        <v>965</v>
      </c>
      <c r="F128" s="18" t="str">
        <f>HYPERLINK("https://www.pref.hokkaido.lg.jp/kz/gxs/107905.html","北海道 省エネルギー設備導入支援事業費補助金")</f>
        <v>北海道 省エネルギー設備導入支援事業費補助金</v>
      </c>
      <c r="G128" s="17" t="s">
        <v>870</v>
      </c>
      <c r="H128" s="17" t="s">
        <v>870</v>
      </c>
      <c r="I128" s="17" t="s">
        <v>80</v>
      </c>
      <c r="J128" s="17" t="s">
        <v>966</v>
      </c>
      <c r="K128" s="17" t="s">
        <v>122</v>
      </c>
      <c r="L128" s="15" t="s">
        <v>385</v>
      </c>
      <c r="M128" s="15" t="s">
        <v>967</v>
      </c>
      <c r="N128" s="17" t="s">
        <v>968</v>
      </c>
      <c r="O128" s="17" t="s">
        <v>969</v>
      </c>
      <c r="P128" s="17" t="s">
        <v>970</v>
      </c>
      <c r="Q128" s="15" t="s">
        <v>88</v>
      </c>
      <c r="R128" s="17" t="s">
        <v>102</v>
      </c>
      <c r="S128" s="15" t="s">
        <v>198</v>
      </c>
      <c r="T128" s="17" t="s">
        <v>248</v>
      </c>
      <c r="U128" s="16" t="s">
        <v>129</v>
      </c>
    </row>
    <row r="129" spans="1:21" ht="60" customHeight="1">
      <c r="A129" s="15">
        <v>125</v>
      </c>
      <c r="B129" s="19" t="s">
        <v>130</v>
      </c>
      <c r="C129" s="17" t="s">
        <v>131</v>
      </c>
      <c r="D129" s="17" t="s">
        <v>971</v>
      </c>
      <c r="E129" s="15" t="s">
        <v>972</v>
      </c>
      <c r="F129" s="18" t="str">
        <f>HYPERLINK("https://www.pref.hokkaido.lg.jp/kz/csk/","北海道 人材確保支援事業（令和8年度）")</f>
        <v>北海道 人材確保支援事業（令和8年度）</v>
      </c>
      <c r="G129" s="17" t="s">
        <v>870</v>
      </c>
      <c r="H129" s="17" t="s">
        <v>870</v>
      </c>
      <c r="I129" s="17" t="s">
        <v>80</v>
      </c>
      <c r="J129" s="17" t="s">
        <v>888</v>
      </c>
      <c r="K129" s="15" t="s">
        <v>973</v>
      </c>
      <c r="L129" s="17" t="s">
        <v>137</v>
      </c>
      <c r="M129" s="15" t="s">
        <v>124</v>
      </c>
      <c r="N129" s="15" t="s">
        <v>124</v>
      </c>
      <c r="O129" s="17" t="s">
        <v>974</v>
      </c>
      <c r="P129" s="17" t="s">
        <v>975</v>
      </c>
      <c r="Q129" s="15" t="s">
        <v>247</v>
      </c>
      <c r="R129" s="17" t="s">
        <v>89</v>
      </c>
      <c r="S129" s="15" t="s">
        <v>90</v>
      </c>
      <c r="T129" s="17" t="s">
        <v>843</v>
      </c>
      <c r="U129" s="16" t="s">
        <v>129</v>
      </c>
    </row>
    <row r="130" spans="1:21" ht="60" customHeight="1">
      <c r="A130" s="15">
        <v>126</v>
      </c>
      <c r="B130" s="19" t="s">
        <v>130</v>
      </c>
      <c r="C130" s="17" t="s">
        <v>215</v>
      </c>
      <c r="D130" s="17" t="s">
        <v>976</v>
      </c>
      <c r="E130" s="15" t="s">
        <v>977</v>
      </c>
      <c r="F130" s="18" t="str">
        <f>HYPERLINK("https://www.pref.okinawa.lg.jp/shigoto/shien/1037826.html","沖縄県 賃上げ・生産性向上緊急支援事業")</f>
        <v>沖縄県 賃上げ・生産性向上緊急支援事業</v>
      </c>
      <c r="G130" s="17" t="s">
        <v>605</v>
      </c>
      <c r="H130" s="17" t="s">
        <v>605</v>
      </c>
      <c r="I130" s="17" t="s">
        <v>80</v>
      </c>
      <c r="J130" s="17" t="s">
        <v>978</v>
      </c>
      <c r="K130" s="17" t="s">
        <v>979</v>
      </c>
      <c r="L130" s="17" t="s">
        <v>980</v>
      </c>
      <c r="M130" s="15" t="s">
        <v>124</v>
      </c>
      <c r="N130" s="15" t="s">
        <v>124</v>
      </c>
      <c r="O130" s="17" t="s">
        <v>981</v>
      </c>
      <c r="P130" s="17" t="s">
        <v>982</v>
      </c>
      <c r="Q130" s="15" t="s">
        <v>88</v>
      </c>
      <c r="R130" s="17" t="s">
        <v>102</v>
      </c>
      <c r="S130" s="15" t="s">
        <v>90</v>
      </c>
      <c r="T130" s="17" t="s">
        <v>843</v>
      </c>
      <c r="U130" s="16" t="s">
        <v>129</v>
      </c>
    </row>
    <row r="131" spans="1:21" ht="60" customHeight="1">
      <c r="A131" s="15">
        <v>127</v>
      </c>
      <c r="B131" s="16" t="s">
        <v>74</v>
      </c>
      <c r="C131" s="17" t="s">
        <v>657</v>
      </c>
      <c r="D131" s="17" t="s">
        <v>983</v>
      </c>
      <c r="E131" s="15" t="s">
        <v>899</v>
      </c>
      <c r="F131" s="18" t="str">
        <f>HYPERLINK("https://www.hiwave.or.jp/purpose1/subsidy/","広島県 中小企業成長加速化補助金（2次公募）")</f>
        <v>広島県 中小企業成長加速化補助金（2次公募）</v>
      </c>
      <c r="G131" s="17" t="s">
        <v>900</v>
      </c>
      <c r="H131" s="17" t="s">
        <v>893</v>
      </c>
      <c r="I131" s="17" t="s">
        <v>80</v>
      </c>
      <c r="J131" s="17" t="s">
        <v>894</v>
      </c>
      <c r="K131" s="17" t="s">
        <v>984</v>
      </c>
      <c r="L131" s="15" t="s">
        <v>385</v>
      </c>
      <c r="M131" s="15" t="s">
        <v>124</v>
      </c>
      <c r="N131" s="15" t="s">
        <v>124</v>
      </c>
      <c r="O131" s="17" t="s">
        <v>985</v>
      </c>
      <c r="P131" s="17" t="s">
        <v>986</v>
      </c>
      <c r="Q131" s="15" t="s">
        <v>127</v>
      </c>
      <c r="R131" s="17" t="s">
        <v>115</v>
      </c>
      <c r="S131" s="15" t="s">
        <v>90</v>
      </c>
      <c r="T131" s="17" t="s">
        <v>843</v>
      </c>
      <c r="U131" s="16" t="s">
        <v>129</v>
      </c>
    </row>
    <row r="132" spans="1:21" ht="60" customHeight="1">
      <c r="A132" s="15">
        <v>128</v>
      </c>
      <c r="B132" s="16" t="s">
        <v>74</v>
      </c>
      <c r="C132" s="17" t="s">
        <v>672</v>
      </c>
      <c r="D132" s="17" t="s">
        <v>987</v>
      </c>
      <c r="E132" s="15" t="s">
        <v>988</v>
      </c>
      <c r="F132" s="18" t="str">
        <f>HYPERLINK("https://www.city.suginami.tokyo.jp/guide/shigoto/chusho/index.html","杉並区中小企業資金融資（基盤強化・経営安定）")</f>
        <v>杉並区中小企業資金融資（基盤強化・経営安定）</v>
      </c>
      <c r="G132" s="17" t="s">
        <v>989</v>
      </c>
      <c r="H132" s="17" t="s">
        <v>990</v>
      </c>
      <c r="I132" s="17" t="s">
        <v>80</v>
      </c>
      <c r="J132" s="17" t="s">
        <v>991</v>
      </c>
      <c r="K132" s="17" t="s">
        <v>992</v>
      </c>
      <c r="L132" s="17" t="s">
        <v>332</v>
      </c>
      <c r="M132" s="17" t="s">
        <v>138</v>
      </c>
      <c r="N132" s="17" t="s">
        <v>138</v>
      </c>
      <c r="O132" s="17" t="s">
        <v>993</v>
      </c>
      <c r="P132" s="17" t="s">
        <v>994</v>
      </c>
      <c r="Q132" s="15" t="s">
        <v>247</v>
      </c>
      <c r="R132" s="17" t="s">
        <v>89</v>
      </c>
      <c r="S132" s="15" t="s">
        <v>90</v>
      </c>
      <c r="T132" s="17" t="s">
        <v>199</v>
      </c>
      <c r="U132" s="16" t="s">
        <v>200</v>
      </c>
    </row>
    <row r="133" spans="1:21" ht="60" customHeight="1">
      <c r="A133" s="15">
        <v>129</v>
      </c>
      <c r="B133" s="16" t="s">
        <v>74</v>
      </c>
      <c r="C133" s="17" t="s">
        <v>117</v>
      </c>
      <c r="D133" s="17" t="s">
        <v>995</v>
      </c>
      <c r="E133" s="15" t="s">
        <v>996</v>
      </c>
      <c r="F133" s="18" t="str">
        <f>HYPERLINK("https://www.nerima-idc.or.jp/bsc/yuushi/hojokin.html","練馬区ホームページ作成費補助金")</f>
        <v>練馬区ホームページ作成費補助金</v>
      </c>
      <c r="G133" s="17" t="s">
        <v>997</v>
      </c>
      <c r="H133" s="17" t="s">
        <v>998</v>
      </c>
      <c r="I133" s="17" t="s">
        <v>80</v>
      </c>
      <c r="J133" s="17" t="s">
        <v>999</v>
      </c>
      <c r="K133" s="17" t="s">
        <v>1000</v>
      </c>
      <c r="L133" s="15" t="s">
        <v>385</v>
      </c>
      <c r="M133" s="15" t="s">
        <v>1001</v>
      </c>
      <c r="N133" s="17" t="s">
        <v>1002</v>
      </c>
      <c r="O133" s="17" t="s">
        <v>1003</v>
      </c>
      <c r="P133" s="17" t="s">
        <v>1004</v>
      </c>
      <c r="Q133" s="15" t="s">
        <v>1005</v>
      </c>
      <c r="R133" s="17" t="s">
        <v>89</v>
      </c>
      <c r="S133" s="15" t="s">
        <v>90</v>
      </c>
      <c r="T133" s="17" t="s">
        <v>843</v>
      </c>
      <c r="U133" s="16" t="s">
        <v>129</v>
      </c>
    </row>
    <row r="134" spans="1:21" ht="60" customHeight="1">
      <c r="A134" s="15">
        <v>130</v>
      </c>
      <c r="B134" s="16" t="s">
        <v>74</v>
      </c>
      <c r="C134" s="17" t="s">
        <v>117</v>
      </c>
      <c r="D134" s="17" t="s">
        <v>1006</v>
      </c>
      <c r="E134" s="15" t="s">
        <v>996</v>
      </c>
      <c r="F134" s="18" t="str">
        <f>HYPERLINK("https://www.nerima-idc.or.jp/bsc/yuushi/hojokin.html","練馬区販路拡大支援補助金（見本市等出展）")</f>
        <v>練馬区販路拡大支援補助金（見本市等出展）</v>
      </c>
      <c r="G134" s="17" t="s">
        <v>997</v>
      </c>
      <c r="H134" s="17" t="s">
        <v>998</v>
      </c>
      <c r="I134" s="17" t="s">
        <v>80</v>
      </c>
      <c r="J134" s="17" t="s">
        <v>1007</v>
      </c>
      <c r="K134" s="17" t="s">
        <v>1008</v>
      </c>
      <c r="L134" s="15" t="s">
        <v>385</v>
      </c>
      <c r="M134" s="15" t="s">
        <v>1001</v>
      </c>
      <c r="N134" s="17" t="s">
        <v>1002</v>
      </c>
      <c r="O134" s="17" t="s">
        <v>1009</v>
      </c>
      <c r="P134" s="17" t="s">
        <v>1010</v>
      </c>
      <c r="Q134" s="15" t="s">
        <v>247</v>
      </c>
      <c r="R134" s="17" t="s">
        <v>89</v>
      </c>
      <c r="S134" s="15" t="s">
        <v>90</v>
      </c>
      <c r="T134" s="17" t="s">
        <v>843</v>
      </c>
      <c r="U134" s="16" t="s">
        <v>129</v>
      </c>
    </row>
    <row r="135" spans="1:21" ht="60" customHeight="1">
      <c r="A135" s="15">
        <v>131</v>
      </c>
      <c r="B135" s="21" t="s">
        <v>357</v>
      </c>
      <c r="C135" s="15" t="s">
        <v>358</v>
      </c>
      <c r="D135" s="17" t="s">
        <v>1011</v>
      </c>
      <c r="E135" s="15" t="s">
        <v>996</v>
      </c>
      <c r="F135" s="18" t="str">
        <f>HYPERLINK("https://www.nerima-idc.or.jp/bsc/yuushi/hojokin.html","練馬区認証取得支援補助金（ISO9001/14001等）")</f>
        <v>練馬区認証取得支援補助金（ISO9001/14001等）</v>
      </c>
      <c r="G135" s="17" t="s">
        <v>997</v>
      </c>
      <c r="H135" s="17" t="s">
        <v>998</v>
      </c>
      <c r="I135" s="17" t="s">
        <v>80</v>
      </c>
      <c r="J135" s="17" t="s">
        <v>991</v>
      </c>
      <c r="K135" s="17" t="s">
        <v>304</v>
      </c>
      <c r="L135" s="15" t="s">
        <v>385</v>
      </c>
      <c r="M135" s="15" t="s">
        <v>1001</v>
      </c>
      <c r="N135" s="17" t="s">
        <v>1002</v>
      </c>
      <c r="O135" s="15" t="s">
        <v>1012</v>
      </c>
      <c r="P135" s="15" t="s">
        <v>1013</v>
      </c>
      <c r="Q135" s="15" t="s">
        <v>88</v>
      </c>
      <c r="R135" s="17" t="s">
        <v>102</v>
      </c>
      <c r="S135" s="15" t="s">
        <v>90</v>
      </c>
      <c r="T135" s="17" t="s">
        <v>843</v>
      </c>
      <c r="U135" s="16" t="s">
        <v>129</v>
      </c>
    </row>
    <row r="136" spans="1:21" ht="60" customHeight="1">
      <c r="A136" s="15">
        <v>132</v>
      </c>
      <c r="B136" s="21" t="s">
        <v>357</v>
      </c>
      <c r="C136" s="15" t="s">
        <v>358</v>
      </c>
      <c r="D136" s="17" t="s">
        <v>1014</v>
      </c>
      <c r="E136" s="15" t="s">
        <v>996</v>
      </c>
      <c r="F136" s="18" t="str">
        <f>HYPERLINK("https://www.nerima-idc.or.jp/bsc/yuushi/hojokin.html","練馬区産業財産権取得支援事業")</f>
        <v>練馬区産業財産権取得支援事業</v>
      </c>
      <c r="G136" s="17" t="s">
        <v>997</v>
      </c>
      <c r="H136" s="17" t="s">
        <v>998</v>
      </c>
      <c r="I136" s="17" t="s">
        <v>80</v>
      </c>
      <c r="J136" s="17" t="s">
        <v>991</v>
      </c>
      <c r="K136" s="17" t="s">
        <v>304</v>
      </c>
      <c r="L136" s="15" t="s">
        <v>385</v>
      </c>
      <c r="M136" s="17" t="s">
        <v>138</v>
      </c>
      <c r="N136" s="17" t="s">
        <v>1015</v>
      </c>
      <c r="O136" s="17" t="s">
        <v>1016</v>
      </c>
      <c r="P136" s="17" t="s">
        <v>1017</v>
      </c>
      <c r="Q136" s="15" t="s">
        <v>127</v>
      </c>
      <c r="R136" s="17" t="s">
        <v>102</v>
      </c>
      <c r="S136" s="15" t="s">
        <v>90</v>
      </c>
      <c r="T136" s="17" t="s">
        <v>199</v>
      </c>
      <c r="U136" s="16" t="s">
        <v>200</v>
      </c>
    </row>
    <row r="137" spans="1:21" ht="60" customHeight="1">
      <c r="A137" s="15">
        <v>133</v>
      </c>
      <c r="B137" s="21" t="s">
        <v>357</v>
      </c>
      <c r="C137" s="17" t="s">
        <v>396</v>
      </c>
      <c r="D137" s="17" t="s">
        <v>1018</v>
      </c>
      <c r="E137" s="15" t="s">
        <v>1019</v>
      </c>
      <c r="F137" s="18" t="str">
        <f>HYPERLINK("https://www.city.nerima.tokyo.jp/kusei/sangyo/jigyosha/yushi/","練馬区産業融資あっせん制度（創業支援特別貸付）")</f>
        <v>練馬区産業融資あっせん制度（創業支援特別貸付）</v>
      </c>
      <c r="G137" s="17" t="s">
        <v>1020</v>
      </c>
      <c r="H137" s="17" t="s">
        <v>998</v>
      </c>
      <c r="I137" s="17" t="s">
        <v>80</v>
      </c>
      <c r="J137" s="17" t="s">
        <v>1021</v>
      </c>
      <c r="K137" s="17" t="s">
        <v>1022</v>
      </c>
      <c r="L137" s="17" t="s">
        <v>332</v>
      </c>
      <c r="M137" s="17" t="s">
        <v>138</v>
      </c>
      <c r="N137" s="17" t="s">
        <v>138</v>
      </c>
      <c r="O137" s="17" t="s">
        <v>1023</v>
      </c>
      <c r="P137" s="17" t="s">
        <v>1024</v>
      </c>
      <c r="Q137" s="15" t="s">
        <v>356</v>
      </c>
      <c r="R137" s="17" t="s">
        <v>89</v>
      </c>
      <c r="S137" s="15" t="s">
        <v>90</v>
      </c>
      <c r="T137" s="17" t="s">
        <v>199</v>
      </c>
      <c r="U137" s="16" t="s">
        <v>200</v>
      </c>
    </row>
    <row r="138" spans="1:21" ht="60" customHeight="1">
      <c r="A138" s="15">
        <v>134</v>
      </c>
      <c r="B138" s="16" t="s">
        <v>74</v>
      </c>
      <c r="C138" s="17" t="s">
        <v>117</v>
      </c>
      <c r="D138" s="17" t="s">
        <v>1025</v>
      </c>
      <c r="E138" s="15" t="s">
        <v>1026</v>
      </c>
      <c r="F138" s="18" t="str">
        <f>HYPERLINK("https://www.city.toshima.lg.jp/177/business/keiei/index.html","豊島区中小企業者向け補助金（産業活性化）")</f>
        <v>豊島区中小企業者向け補助金（産業活性化）</v>
      </c>
      <c r="G138" s="17" t="s">
        <v>1027</v>
      </c>
      <c r="H138" s="17" t="s">
        <v>1028</v>
      </c>
      <c r="I138" s="17" t="s">
        <v>80</v>
      </c>
      <c r="J138" s="17" t="s">
        <v>991</v>
      </c>
      <c r="K138" s="17" t="s">
        <v>304</v>
      </c>
      <c r="L138" s="15" t="s">
        <v>385</v>
      </c>
      <c r="M138" s="15" t="s">
        <v>124</v>
      </c>
      <c r="N138" s="15" t="s">
        <v>124</v>
      </c>
      <c r="O138" s="17" t="s">
        <v>1029</v>
      </c>
      <c r="P138" s="17" t="s">
        <v>1030</v>
      </c>
      <c r="Q138" s="15" t="s">
        <v>247</v>
      </c>
      <c r="R138" s="17" t="s">
        <v>102</v>
      </c>
      <c r="S138" s="15" t="s">
        <v>90</v>
      </c>
      <c r="T138" s="17" t="s">
        <v>843</v>
      </c>
      <c r="U138" s="16" t="s">
        <v>129</v>
      </c>
    </row>
    <row r="139" spans="1:21" ht="60" customHeight="1">
      <c r="A139" s="15">
        <v>135</v>
      </c>
      <c r="B139" s="21" t="s">
        <v>357</v>
      </c>
      <c r="C139" s="15" t="s">
        <v>358</v>
      </c>
      <c r="D139" s="17" t="s">
        <v>1031</v>
      </c>
      <c r="E139" s="15" t="s">
        <v>1032</v>
      </c>
      <c r="F139" s="18" t="str">
        <f>HYPERLINK("https://www.city.taito.lg.jp/sangyokanko/","台東区中小企業デジタル化推進事業助成金")</f>
        <v>台東区中小企業デジタル化推進事業助成金</v>
      </c>
      <c r="G139" s="17" t="s">
        <v>1033</v>
      </c>
      <c r="H139" s="17" t="s">
        <v>1034</v>
      </c>
      <c r="I139" s="17" t="s">
        <v>80</v>
      </c>
      <c r="J139" s="17" t="s">
        <v>991</v>
      </c>
      <c r="K139" s="17" t="s">
        <v>304</v>
      </c>
      <c r="L139" s="15" t="s">
        <v>385</v>
      </c>
      <c r="M139" s="15" t="s">
        <v>124</v>
      </c>
      <c r="N139" s="15" t="s">
        <v>124</v>
      </c>
      <c r="O139" s="17" t="s">
        <v>1035</v>
      </c>
      <c r="P139" s="17" t="s">
        <v>1036</v>
      </c>
      <c r="Q139" s="15" t="s">
        <v>247</v>
      </c>
      <c r="R139" s="17" t="s">
        <v>102</v>
      </c>
      <c r="S139" s="15" t="s">
        <v>90</v>
      </c>
      <c r="T139" s="17" t="s">
        <v>843</v>
      </c>
      <c r="U139" s="16" t="s">
        <v>129</v>
      </c>
    </row>
    <row r="140" spans="1:21" ht="60" customHeight="1">
      <c r="A140" s="15">
        <v>136</v>
      </c>
      <c r="B140" s="16" t="s">
        <v>74</v>
      </c>
      <c r="C140" s="17" t="s">
        <v>672</v>
      </c>
      <c r="D140" s="17" t="s">
        <v>1037</v>
      </c>
      <c r="E140" s="15" t="s">
        <v>1032</v>
      </c>
      <c r="F140" s="18" t="str">
        <f>HYPERLINK("https://www.city.taito.lg.jp/sangyokanko/","台東区クラウドファンディング活用支援助成金")</f>
        <v>台東区クラウドファンディング活用支援助成金</v>
      </c>
      <c r="G140" s="17" t="s">
        <v>1033</v>
      </c>
      <c r="H140" s="17" t="s">
        <v>1034</v>
      </c>
      <c r="I140" s="17" t="s">
        <v>80</v>
      </c>
      <c r="J140" s="17" t="s">
        <v>991</v>
      </c>
      <c r="K140" s="17" t="s">
        <v>304</v>
      </c>
      <c r="L140" s="15" t="s">
        <v>385</v>
      </c>
      <c r="M140" s="15" t="s">
        <v>124</v>
      </c>
      <c r="N140" s="15" t="s">
        <v>124</v>
      </c>
      <c r="O140" s="17" t="s">
        <v>1038</v>
      </c>
      <c r="P140" s="17" t="s">
        <v>1039</v>
      </c>
      <c r="Q140" s="15" t="s">
        <v>356</v>
      </c>
      <c r="R140" s="17" t="s">
        <v>89</v>
      </c>
      <c r="S140" s="15" t="s">
        <v>90</v>
      </c>
      <c r="T140" s="17" t="s">
        <v>843</v>
      </c>
      <c r="U140" s="16" t="s">
        <v>129</v>
      </c>
    </row>
    <row r="141" spans="1:21" ht="60" customHeight="1">
      <c r="A141" s="15">
        <v>137</v>
      </c>
      <c r="B141" s="16" t="s">
        <v>74</v>
      </c>
      <c r="C141" s="17" t="s">
        <v>117</v>
      </c>
      <c r="D141" s="17" t="s">
        <v>1040</v>
      </c>
      <c r="E141" s="15" t="s">
        <v>1041</v>
      </c>
      <c r="F141" s="18" t="str">
        <f>HYPERLINK("https://www.city.edogawa.tokyo.jp/business/index.html","江戸川区中小企業向け補助金（産業ナビ補助金）")</f>
        <v>江戸川区中小企業向け補助金（産業ナビ補助金）</v>
      </c>
      <c r="G141" s="17" t="s">
        <v>1042</v>
      </c>
      <c r="H141" s="17" t="s">
        <v>1043</v>
      </c>
      <c r="I141" s="17" t="s">
        <v>80</v>
      </c>
      <c r="J141" s="17" t="s">
        <v>991</v>
      </c>
      <c r="K141" s="17" t="s">
        <v>304</v>
      </c>
      <c r="L141" s="15" t="s">
        <v>385</v>
      </c>
      <c r="M141" s="15" t="s">
        <v>124</v>
      </c>
      <c r="N141" s="15" t="s">
        <v>124</v>
      </c>
      <c r="O141" s="17" t="s">
        <v>1044</v>
      </c>
      <c r="P141" s="17" t="s">
        <v>1045</v>
      </c>
      <c r="Q141" s="15" t="s">
        <v>247</v>
      </c>
      <c r="R141" s="17" t="s">
        <v>102</v>
      </c>
      <c r="S141" s="15" t="s">
        <v>90</v>
      </c>
      <c r="T141" s="17" t="s">
        <v>843</v>
      </c>
      <c r="U141" s="16" t="s">
        <v>129</v>
      </c>
    </row>
    <row r="142" spans="1:21" ht="60" customHeight="1">
      <c r="A142" s="15">
        <v>138</v>
      </c>
      <c r="B142" s="16" t="s">
        <v>74</v>
      </c>
      <c r="C142" s="17" t="s">
        <v>117</v>
      </c>
      <c r="D142" s="17" t="s">
        <v>1046</v>
      </c>
      <c r="E142" s="15" t="s">
        <v>1047</v>
      </c>
      <c r="F142" s="18" t="str">
        <f>HYPERLINK("https://www.city.chuo.lg.jp/a0033/business/index.html","中央区商工業融資・支援事業")</f>
        <v>中央区商工業融資・支援事業</v>
      </c>
      <c r="G142" s="17" t="s">
        <v>1048</v>
      </c>
      <c r="H142" s="17" t="s">
        <v>1049</v>
      </c>
      <c r="I142" s="17" t="s">
        <v>80</v>
      </c>
      <c r="J142" s="17" t="s">
        <v>991</v>
      </c>
      <c r="K142" s="17" t="s">
        <v>304</v>
      </c>
      <c r="L142" s="17" t="s">
        <v>332</v>
      </c>
      <c r="M142" s="17" t="s">
        <v>138</v>
      </c>
      <c r="N142" s="17" t="s">
        <v>138</v>
      </c>
      <c r="O142" s="17" t="s">
        <v>1050</v>
      </c>
      <c r="P142" s="17" t="s">
        <v>1051</v>
      </c>
      <c r="Q142" s="15" t="s">
        <v>247</v>
      </c>
      <c r="R142" s="17" t="s">
        <v>89</v>
      </c>
      <c r="S142" s="15" t="s">
        <v>90</v>
      </c>
      <c r="T142" s="17" t="s">
        <v>199</v>
      </c>
      <c r="U142" s="16" t="s">
        <v>200</v>
      </c>
    </row>
    <row r="143" spans="1:21" ht="60" customHeight="1">
      <c r="A143" s="15">
        <v>139</v>
      </c>
      <c r="B143" s="16" t="s">
        <v>74</v>
      </c>
      <c r="C143" s="17" t="s">
        <v>672</v>
      </c>
      <c r="D143" s="17" t="s">
        <v>1052</v>
      </c>
      <c r="E143" s="15" t="s">
        <v>1053</v>
      </c>
      <c r="F143" s="18" t="str">
        <f>HYPERLINK("https://www.city.shibuya.tokyo.jp/jigyosha/shoko-rodo-sodan/chusho-yushi/chusho_shien.html","渋谷区店舗開業支援補助金")</f>
        <v>渋谷区店舗開業支援補助金</v>
      </c>
      <c r="G143" s="17" t="s">
        <v>1054</v>
      </c>
      <c r="H143" s="17" t="s">
        <v>1055</v>
      </c>
      <c r="I143" s="17" t="s">
        <v>1056</v>
      </c>
      <c r="J143" s="17" t="s">
        <v>1057</v>
      </c>
      <c r="K143" s="17" t="s">
        <v>1058</v>
      </c>
      <c r="L143" s="15" t="s">
        <v>1059</v>
      </c>
      <c r="M143" s="15" t="s">
        <v>124</v>
      </c>
      <c r="N143" s="15" t="s">
        <v>124</v>
      </c>
      <c r="O143" s="17" t="s">
        <v>1060</v>
      </c>
      <c r="P143" s="17" t="s">
        <v>1061</v>
      </c>
      <c r="Q143" s="15" t="s">
        <v>49</v>
      </c>
      <c r="R143" s="17" t="s">
        <v>102</v>
      </c>
      <c r="S143" s="15" t="s">
        <v>90</v>
      </c>
      <c r="T143" s="17" t="s">
        <v>843</v>
      </c>
      <c r="U143" s="16" t="s">
        <v>129</v>
      </c>
    </row>
    <row r="144" spans="1:21" ht="60" customHeight="1">
      <c r="A144" s="15">
        <v>140</v>
      </c>
      <c r="B144" s="16" t="s">
        <v>74</v>
      </c>
      <c r="C144" s="17" t="s">
        <v>117</v>
      </c>
      <c r="D144" s="17" t="s">
        <v>1062</v>
      </c>
      <c r="E144" s="15" t="s">
        <v>1053</v>
      </c>
      <c r="F144" s="18" t="str">
        <f>HYPERLINK("https://www.city.shibuya.tokyo.jp/jigyosha/shoko-rodo-sodan/chusho-yushi/chusho_shien.html","渋谷区商店街活性化事業助成金")</f>
        <v>渋谷区商店街活性化事業助成金</v>
      </c>
      <c r="G144" s="17" t="s">
        <v>1054</v>
      </c>
      <c r="H144" s="17" t="s">
        <v>1055</v>
      </c>
      <c r="I144" s="17" t="s">
        <v>1063</v>
      </c>
      <c r="J144" s="17" t="s">
        <v>1064</v>
      </c>
      <c r="K144" s="17" t="s">
        <v>304</v>
      </c>
      <c r="L144" s="15" t="s">
        <v>385</v>
      </c>
      <c r="M144" s="15" t="s">
        <v>124</v>
      </c>
      <c r="N144" s="15" t="s">
        <v>124</v>
      </c>
      <c r="O144" s="17" t="s">
        <v>1065</v>
      </c>
      <c r="P144" s="17" t="s">
        <v>1066</v>
      </c>
      <c r="Q144" s="15" t="s">
        <v>1067</v>
      </c>
      <c r="R144" s="17" t="s">
        <v>89</v>
      </c>
      <c r="S144" s="15" t="s">
        <v>90</v>
      </c>
      <c r="T144" s="17" t="s">
        <v>843</v>
      </c>
      <c r="U144" s="16" t="s">
        <v>129</v>
      </c>
    </row>
    <row r="145" spans="1:21" ht="60" customHeight="1">
      <c r="A145" s="15">
        <v>141</v>
      </c>
      <c r="B145" s="16" t="s">
        <v>74</v>
      </c>
      <c r="C145" s="17" t="s">
        <v>117</v>
      </c>
      <c r="D145" s="17" t="s">
        <v>1068</v>
      </c>
      <c r="E145" s="15" t="s">
        <v>1069</v>
      </c>
      <c r="F145" s="18" t="str">
        <f>HYPERLINK("https://www.city.sumida.lg.jp/sangyo_matidukuri/sumidanosangyo/index.html","墨田区中小企業向け新ものづくり創出支援助成事業")</f>
        <v>墨田区中小企業向け新ものづくり創出支援助成事業</v>
      </c>
      <c r="G145" s="17" t="s">
        <v>1070</v>
      </c>
      <c r="H145" s="17" t="s">
        <v>1071</v>
      </c>
      <c r="I145" s="17" t="s">
        <v>80</v>
      </c>
      <c r="J145" s="17" t="s">
        <v>1072</v>
      </c>
      <c r="K145" s="17" t="s">
        <v>304</v>
      </c>
      <c r="L145" s="15" t="s">
        <v>385</v>
      </c>
      <c r="M145" s="15" t="s">
        <v>124</v>
      </c>
      <c r="N145" s="15" t="s">
        <v>124</v>
      </c>
      <c r="O145" s="17" t="s">
        <v>1073</v>
      </c>
      <c r="P145" s="17" t="s">
        <v>1074</v>
      </c>
      <c r="Q145" s="15" t="s">
        <v>1067</v>
      </c>
      <c r="R145" s="17" t="s">
        <v>102</v>
      </c>
      <c r="S145" s="15" t="s">
        <v>90</v>
      </c>
      <c r="T145" s="17" t="s">
        <v>843</v>
      </c>
      <c r="U145" s="16" t="s">
        <v>129</v>
      </c>
    </row>
    <row r="146" spans="1:21" ht="60" customHeight="1">
      <c r="A146" s="15">
        <v>142</v>
      </c>
      <c r="B146" s="16" t="s">
        <v>74</v>
      </c>
      <c r="C146" s="17" t="s">
        <v>672</v>
      </c>
      <c r="D146" s="17" t="s">
        <v>1075</v>
      </c>
      <c r="E146" s="15" t="s">
        <v>1076</v>
      </c>
      <c r="F146" s="18" t="str">
        <f>HYPERLINK("https://www.city.hachioji.tokyo.jp/business/sangyo/sogyo/","八王子市創業支援等事業（特定創業支援）")</f>
        <v>八王子市創業支援等事業（特定創業支援）</v>
      </c>
      <c r="G146" s="17" t="s">
        <v>1077</v>
      </c>
      <c r="H146" s="17" t="s">
        <v>1078</v>
      </c>
      <c r="I146" s="17" t="s">
        <v>80</v>
      </c>
      <c r="J146" s="17" t="s">
        <v>839</v>
      </c>
      <c r="K146" s="17" t="s">
        <v>1079</v>
      </c>
      <c r="L146" s="17" t="s">
        <v>332</v>
      </c>
      <c r="M146" s="17" t="s">
        <v>138</v>
      </c>
      <c r="N146" s="17" t="s">
        <v>138</v>
      </c>
      <c r="O146" s="17" t="s">
        <v>1080</v>
      </c>
      <c r="P146" s="17" t="s">
        <v>1081</v>
      </c>
      <c r="Q146" s="15" t="s">
        <v>49</v>
      </c>
      <c r="R146" s="17" t="s">
        <v>89</v>
      </c>
      <c r="S146" s="15" t="s">
        <v>90</v>
      </c>
      <c r="T146" s="17" t="s">
        <v>199</v>
      </c>
      <c r="U146" s="16" t="s">
        <v>200</v>
      </c>
    </row>
    <row r="147" spans="1:21" ht="60" customHeight="1">
      <c r="A147" s="15">
        <v>143</v>
      </c>
      <c r="B147" s="16" t="s">
        <v>74</v>
      </c>
      <c r="C147" s="17" t="s">
        <v>75</v>
      </c>
      <c r="D147" s="17" t="s">
        <v>1082</v>
      </c>
      <c r="E147" s="15" t="s">
        <v>1083</v>
      </c>
      <c r="F147" s="18" t="str">
        <f>HYPERLINK("https://www.city.hachioji.tokyo.jp/business/sangyo/","八王子市中小企業設備投資促進事業補助金")</f>
        <v>八王子市中小企業設備投資促進事業補助金</v>
      </c>
      <c r="G147" s="17" t="s">
        <v>1077</v>
      </c>
      <c r="H147" s="17" t="s">
        <v>1078</v>
      </c>
      <c r="I147" s="17" t="s">
        <v>80</v>
      </c>
      <c r="J147" s="17" t="s">
        <v>1084</v>
      </c>
      <c r="K147" s="17" t="s">
        <v>304</v>
      </c>
      <c r="L147" s="15" t="s">
        <v>385</v>
      </c>
      <c r="M147" s="15" t="s">
        <v>124</v>
      </c>
      <c r="N147" s="15" t="s">
        <v>124</v>
      </c>
      <c r="O147" s="17" t="s">
        <v>1085</v>
      </c>
      <c r="P147" s="17" t="s">
        <v>1086</v>
      </c>
      <c r="Q147" s="15" t="s">
        <v>1067</v>
      </c>
      <c r="R147" s="17" t="s">
        <v>102</v>
      </c>
      <c r="S147" s="15" t="s">
        <v>90</v>
      </c>
      <c r="T147" s="17" t="s">
        <v>843</v>
      </c>
      <c r="U147" s="16" t="s">
        <v>129</v>
      </c>
    </row>
    <row r="148" spans="1:21" ht="60" customHeight="1">
      <c r="A148" s="15">
        <v>144</v>
      </c>
      <c r="B148" s="16" t="s">
        <v>74</v>
      </c>
      <c r="C148" s="17" t="s">
        <v>672</v>
      </c>
      <c r="D148" s="17" t="s">
        <v>1087</v>
      </c>
      <c r="E148" s="15" t="s">
        <v>1088</v>
      </c>
      <c r="F148" s="18" t="str">
        <f>HYPERLINK("https://www.city.yachiyo.lg.jp/soshikiichiran/keizai/sigotosangyo/","八千代市起業・創業支援事業補助金")</f>
        <v>八千代市起業・創業支援事業補助金</v>
      </c>
      <c r="G148" s="17" t="s">
        <v>1089</v>
      </c>
      <c r="H148" s="17" t="s">
        <v>1090</v>
      </c>
      <c r="I148" s="17" t="s">
        <v>80</v>
      </c>
      <c r="J148" s="17" t="s">
        <v>1091</v>
      </c>
      <c r="K148" s="17" t="s">
        <v>304</v>
      </c>
      <c r="L148" s="15" t="s">
        <v>385</v>
      </c>
      <c r="M148" s="15" t="s">
        <v>124</v>
      </c>
      <c r="N148" s="15" t="s">
        <v>124</v>
      </c>
      <c r="O148" s="17" t="s">
        <v>1092</v>
      </c>
      <c r="P148" s="17" t="s">
        <v>1093</v>
      </c>
      <c r="Q148" s="15" t="s">
        <v>49</v>
      </c>
      <c r="R148" s="17" t="s">
        <v>102</v>
      </c>
      <c r="S148" s="15" t="s">
        <v>90</v>
      </c>
      <c r="T148" s="17" t="s">
        <v>843</v>
      </c>
      <c r="U148" s="16" t="s">
        <v>129</v>
      </c>
    </row>
    <row r="149" spans="1:21" ht="60" customHeight="1">
      <c r="A149" s="15">
        <v>145</v>
      </c>
      <c r="B149" s="16" t="s">
        <v>74</v>
      </c>
      <c r="C149" s="17" t="s">
        <v>117</v>
      </c>
      <c r="D149" s="17" t="s">
        <v>1094</v>
      </c>
      <c r="E149" s="15" t="s">
        <v>1088</v>
      </c>
      <c r="F149" s="18" t="str">
        <f>HYPERLINK("https://www.city.yachiyo.lg.jp/soshikiichiran/keizai/sigotosangyo/","八千代市商工業活性化支援補助金")</f>
        <v>八千代市商工業活性化支援補助金</v>
      </c>
      <c r="G149" s="17" t="s">
        <v>1089</v>
      </c>
      <c r="H149" s="17" t="s">
        <v>1090</v>
      </c>
      <c r="I149" s="17" t="s">
        <v>80</v>
      </c>
      <c r="J149" s="17" t="s">
        <v>1084</v>
      </c>
      <c r="K149" s="17" t="s">
        <v>304</v>
      </c>
      <c r="L149" s="15" t="s">
        <v>385</v>
      </c>
      <c r="M149" s="15" t="s">
        <v>124</v>
      </c>
      <c r="N149" s="15" t="s">
        <v>124</v>
      </c>
      <c r="O149" s="17" t="s">
        <v>1095</v>
      </c>
      <c r="P149" s="17" t="s">
        <v>1096</v>
      </c>
      <c r="Q149" s="15" t="s">
        <v>247</v>
      </c>
      <c r="R149" s="17" t="s">
        <v>102</v>
      </c>
      <c r="S149" s="15" t="s">
        <v>90</v>
      </c>
      <c r="T149" s="17" t="s">
        <v>843</v>
      </c>
      <c r="U149" s="16" t="s">
        <v>129</v>
      </c>
    </row>
    <row r="150" spans="1:21" ht="60" customHeight="1">
      <c r="A150" s="15">
        <v>146</v>
      </c>
      <c r="B150" s="21" t="s">
        <v>357</v>
      </c>
      <c r="C150" s="15" t="s">
        <v>358</v>
      </c>
      <c r="D150" s="17" t="s">
        <v>1097</v>
      </c>
      <c r="E150" s="15" t="s">
        <v>1098</v>
      </c>
      <c r="F150" s="18" t="str">
        <f>HYPERLINK("https://www.business-chiba.jp/","千葉市産業振興財団 ICT活用生産性向上支援事業")</f>
        <v>千葉市産業振興財団 ICT活用生産性向上支援事業</v>
      </c>
      <c r="G150" s="17" t="s">
        <v>1099</v>
      </c>
      <c r="H150" s="17" t="s">
        <v>1100</v>
      </c>
      <c r="I150" s="17" t="s">
        <v>80</v>
      </c>
      <c r="J150" s="17" t="s">
        <v>1084</v>
      </c>
      <c r="K150" s="17" t="s">
        <v>304</v>
      </c>
      <c r="L150" s="15" t="s">
        <v>385</v>
      </c>
      <c r="M150" s="15" t="s">
        <v>124</v>
      </c>
      <c r="N150" s="15" t="s">
        <v>124</v>
      </c>
      <c r="O150" s="15" t="s">
        <v>1101</v>
      </c>
      <c r="P150" s="17" t="s">
        <v>1102</v>
      </c>
      <c r="Q150" s="15" t="s">
        <v>1067</v>
      </c>
      <c r="R150" s="17" t="s">
        <v>102</v>
      </c>
      <c r="S150" s="15" t="s">
        <v>90</v>
      </c>
      <c r="T150" s="17" t="s">
        <v>843</v>
      </c>
      <c r="U150" s="16" t="s">
        <v>129</v>
      </c>
    </row>
    <row r="151" spans="1:21" ht="60" customHeight="1">
      <c r="A151" s="15">
        <v>147</v>
      </c>
      <c r="B151" s="16" t="s">
        <v>74</v>
      </c>
      <c r="C151" s="17" t="s">
        <v>672</v>
      </c>
      <c r="D151" s="17" t="s">
        <v>1103</v>
      </c>
      <c r="E151" s="15" t="s">
        <v>1104</v>
      </c>
      <c r="F151" s="18" t="str">
        <f>HYPERLINK("https://www.city.chiba.jp/keizainosei/keizai/sogyoshien.html","千葉市創業支援補助金")</f>
        <v>千葉市創業支援補助金</v>
      </c>
      <c r="G151" s="17" t="s">
        <v>1105</v>
      </c>
      <c r="H151" s="17" t="s">
        <v>1100</v>
      </c>
      <c r="I151" s="17" t="s">
        <v>80</v>
      </c>
      <c r="J151" s="17" t="s">
        <v>1091</v>
      </c>
      <c r="K151" s="17" t="s">
        <v>304</v>
      </c>
      <c r="L151" s="15" t="s">
        <v>385</v>
      </c>
      <c r="M151" s="15" t="s">
        <v>124</v>
      </c>
      <c r="N151" s="15" t="s">
        <v>124</v>
      </c>
      <c r="O151" s="17" t="s">
        <v>1106</v>
      </c>
      <c r="P151" s="17" t="s">
        <v>1107</v>
      </c>
      <c r="Q151" s="15" t="s">
        <v>49</v>
      </c>
      <c r="R151" s="17" t="s">
        <v>102</v>
      </c>
      <c r="S151" s="15" t="s">
        <v>90</v>
      </c>
      <c r="T151" s="17" t="s">
        <v>843</v>
      </c>
      <c r="U151" s="16" t="s">
        <v>129</v>
      </c>
    </row>
    <row r="152" spans="1:21" ht="60" customHeight="1">
      <c r="A152" s="15">
        <v>148</v>
      </c>
      <c r="B152" s="16" t="s">
        <v>74</v>
      </c>
      <c r="C152" s="17" t="s">
        <v>75</v>
      </c>
      <c r="D152" s="17" t="s">
        <v>1108</v>
      </c>
      <c r="E152" s="15" t="s">
        <v>1109</v>
      </c>
      <c r="F152" s="18" t="str">
        <f>HYPERLINK("https://www.city.yashio.lg.jp/sangyo/index.html","八潮市中小企業設備投資・賃上げ支援補助金")</f>
        <v>八潮市中小企業設備投資・賃上げ支援補助金</v>
      </c>
      <c r="G152" s="17" t="s">
        <v>1110</v>
      </c>
      <c r="H152" s="17" t="s">
        <v>1111</v>
      </c>
      <c r="I152" s="17" t="s">
        <v>80</v>
      </c>
      <c r="J152" s="17" t="s">
        <v>1084</v>
      </c>
      <c r="K152" s="17" t="s">
        <v>304</v>
      </c>
      <c r="L152" s="15" t="s">
        <v>385</v>
      </c>
      <c r="M152" s="15" t="s">
        <v>124</v>
      </c>
      <c r="N152" s="15" t="s">
        <v>124</v>
      </c>
      <c r="O152" s="17" t="s">
        <v>1112</v>
      </c>
      <c r="P152" s="17" t="s">
        <v>1113</v>
      </c>
      <c r="Q152" s="15" t="s">
        <v>247</v>
      </c>
      <c r="R152" s="17" t="s">
        <v>102</v>
      </c>
      <c r="S152" s="15" t="s">
        <v>90</v>
      </c>
      <c r="T152" s="17" t="s">
        <v>843</v>
      </c>
      <c r="U152" s="16" t="s">
        <v>129</v>
      </c>
    </row>
    <row r="153" spans="1:21" ht="60" customHeight="1">
      <c r="A153" s="15">
        <v>149</v>
      </c>
      <c r="B153" s="16" t="s">
        <v>74</v>
      </c>
      <c r="C153" s="17" t="s">
        <v>672</v>
      </c>
      <c r="D153" s="17" t="s">
        <v>1114</v>
      </c>
      <c r="E153" s="15" t="s">
        <v>1115</v>
      </c>
      <c r="F153" s="18" t="str">
        <f>HYPERLINK("https://www.city.kasukabe.lg.jp/sangyo/index.html","春日部市中小企業向け補助金（中小企業センター事業）")</f>
        <v>春日部市中小企業向け補助金（中小企業センター事業）</v>
      </c>
      <c r="G153" s="17" t="s">
        <v>1116</v>
      </c>
      <c r="H153" s="17" t="s">
        <v>1117</v>
      </c>
      <c r="I153" s="17" t="s">
        <v>80</v>
      </c>
      <c r="J153" s="17" t="s">
        <v>1084</v>
      </c>
      <c r="K153" s="17" t="s">
        <v>304</v>
      </c>
      <c r="L153" s="15" t="s">
        <v>385</v>
      </c>
      <c r="M153" s="15" t="s">
        <v>124</v>
      </c>
      <c r="N153" s="15" t="s">
        <v>124</v>
      </c>
      <c r="O153" s="17" t="s">
        <v>1118</v>
      </c>
      <c r="P153" s="17" t="s">
        <v>1119</v>
      </c>
      <c r="Q153" s="15" t="s">
        <v>247</v>
      </c>
      <c r="R153" s="17" t="s">
        <v>102</v>
      </c>
      <c r="S153" s="15" t="s">
        <v>90</v>
      </c>
      <c r="T153" s="17" t="s">
        <v>843</v>
      </c>
      <c r="U153" s="16" t="s">
        <v>129</v>
      </c>
    </row>
    <row r="154" spans="1:21" ht="60" customHeight="1">
      <c r="A154" s="15">
        <v>150</v>
      </c>
      <c r="B154" s="16" t="s">
        <v>74</v>
      </c>
      <c r="C154" s="17" t="s">
        <v>672</v>
      </c>
      <c r="D154" s="17" t="s">
        <v>1120</v>
      </c>
      <c r="E154" s="15" t="s">
        <v>1121</v>
      </c>
      <c r="F154" s="18" t="str">
        <f>HYPERLINK("https://www.city.sapporo.jp/keizai/index.html","札幌市創業者支援補助金（地域課題解決型）")</f>
        <v>札幌市創業者支援補助金（地域課題解決型）</v>
      </c>
      <c r="G154" s="17" t="s">
        <v>1122</v>
      </c>
      <c r="H154" s="17" t="s">
        <v>1123</v>
      </c>
      <c r="I154" s="17" t="s">
        <v>1124</v>
      </c>
      <c r="J154" s="17" t="s">
        <v>839</v>
      </c>
      <c r="K154" s="17" t="s">
        <v>304</v>
      </c>
      <c r="L154" s="15" t="s">
        <v>324</v>
      </c>
      <c r="M154" s="15" t="s">
        <v>124</v>
      </c>
      <c r="N154" s="15" t="s">
        <v>124</v>
      </c>
      <c r="O154" s="17" t="s">
        <v>1125</v>
      </c>
      <c r="P154" s="17" t="s">
        <v>1126</v>
      </c>
      <c r="Q154" s="15" t="s">
        <v>49</v>
      </c>
      <c r="R154" s="17" t="s">
        <v>102</v>
      </c>
      <c r="S154" s="15" t="s">
        <v>90</v>
      </c>
      <c r="T154" s="17" t="s">
        <v>843</v>
      </c>
      <c r="U154" s="16" t="s">
        <v>129</v>
      </c>
    </row>
    <row r="155" spans="1:21" ht="60" customHeight="1">
      <c r="A155" s="15">
        <v>151</v>
      </c>
      <c r="B155" s="16" t="s">
        <v>74</v>
      </c>
      <c r="C155" s="17" t="s">
        <v>117</v>
      </c>
      <c r="D155" s="17" t="s">
        <v>1127</v>
      </c>
      <c r="E155" s="15" t="s">
        <v>1121</v>
      </c>
      <c r="F155" s="18" t="str">
        <f>HYPERLINK("https://www.city.sapporo.jp/keizai/index.html","札幌市中小企業振興条例補助金（産業振興）")</f>
        <v>札幌市中小企業振興条例補助金（産業振興）</v>
      </c>
      <c r="G155" s="17" t="s">
        <v>1122</v>
      </c>
      <c r="H155" s="17" t="s">
        <v>1123</v>
      </c>
      <c r="I155" s="17" t="s">
        <v>80</v>
      </c>
      <c r="J155" s="17" t="s">
        <v>1084</v>
      </c>
      <c r="K155" s="17" t="s">
        <v>304</v>
      </c>
      <c r="L155" s="15" t="s">
        <v>385</v>
      </c>
      <c r="M155" s="15" t="s">
        <v>124</v>
      </c>
      <c r="N155" s="15" t="s">
        <v>124</v>
      </c>
      <c r="O155" s="17" t="s">
        <v>1128</v>
      </c>
      <c r="P155" s="17" t="s">
        <v>1129</v>
      </c>
      <c r="Q155" s="15" t="s">
        <v>88</v>
      </c>
      <c r="R155" s="17" t="s">
        <v>102</v>
      </c>
      <c r="S155" s="15" t="s">
        <v>90</v>
      </c>
      <c r="T155" s="17" t="s">
        <v>843</v>
      </c>
      <c r="U155" s="16" t="s">
        <v>129</v>
      </c>
    </row>
    <row r="156" spans="1:21" ht="60" customHeight="1">
      <c r="A156" s="15">
        <v>152</v>
      </c>
      <c r="B156" s="21" t="s">
        <v>357</v>
      </c>
      <c r="C156" s="15" t="s">
        <v>358</v>
      </c>
      <c r="D156" s="17" t="s">
        <v>1130</v>
      </c>
      <c r="E156" s="15" t="s">
        <v>1131</v>
      </c>
      <c r="F156" s="18" t="str">
        <f>HYPERLINK("https://www.city.fukuoka.lg.jp/keizai/index.html","福岡市中小企業DX促進補助金")</f>
        <v>福岡市中小企業DX促進補助金</v>
      </c>
      <c r="G156" s="17" t="s">
        <v>1132</v>
      </c>
      <c r="H156" s="17" t="s">
        <v>1133</v>
      </c>
      <c r="I156" s="17" t="s">
        <v>80</v>
      </c>
      <c r="J156" s="17" t="s">
        <v>1084</v>
      </c>
      <c r="K156" s="17" t="s">
        <v>304</v>
      </c>
      <c r="L156" s="15" t="s">
        <v>385</v>
      </c>
      <c r="M156" s="15" t="s">
        <v>124</v>
      </c>
      <c r="N156" s="15" t="s">
        <v>124</v>
      </c>
      <c r="O156" s="15" t="s">
        <v>1134</v>
      </c>
      <c r="P156" s="17" t="s">
        <v>1135</v>
      </c>
      <c r="Q156" s="15" t="s">
        <v>88</v>
      </c>
      <c r="R156" s="17" t="s">
        <v>102</v>
      </c>
      <c r="S156" s="15" t="s">
        <v>90</v>
      </c>
      <c r="T156" s="17" t="s">
        <v>843</v>
      </c>
      <c r="U156" s="16" t="s">
        <v>129</v>
      </c>
    </row>
    <row r="157" spans="1:21" ht="60" customHeight="1">
      <c r="A157" s="15">
        <v>153</v>
      </c>
      <c r="B157" s="16" t="s">
        <v>74</v>
      </c>
      <c r="C157" s="17" t="s">
        <v>117</v>
      </c>
      <c r="D157" s="17" t="s">
        <v>1136</v>
      </c>
      <c r="E157" s="15" t="s">
        <v>1131</v>
      </c>
      <c r="F157" s="18" t="str">
        <f>HYPERLINK("https://www.city.fukuoka.lg.jp/keizai/index.html","福岡市商店街活性化補助")</f>
        <v>福岡市商店街活性化補助</v>
      </c>
      <c r="G157" s="17" t="s">
        <v>1132</v>
      </c>
      <c r="H157" s="17" t="s">
        <v>1133</v>
      </c>
      <c r="I157" s="17" t="s">
        <v>1063</v>
      </c>
      <c r="J157" s="17" t="s">
        <v>1064</v>
      </c>
      <c r="K157" s="17" t="s">
        <v>304</v>
      </c>
      <c r="L157" s="15" t="s">
        <v>385</v>
      </c>
      <c r="M157" s="15" t="s">
        <v>124</v>
      </c>
      <c r="N157" s="15" t="s">
        <v>124</v>
      </c>
      <c r="O157" s="17" t="s">
        <v>1137</v>
      </c>
      <c r="P157" s="17" t="s">
        <v>1138</v>
      </c>
      <c r="Q157" s="15" t="s">
        <v>1067</v>
      </c>
      <c r="R157" s="17" t="s">
        <v>89</v>
      </c>
      <c r="S157" s="15" t="s">
        <v>90</v>
      </c>
      <c r="T157" s="17" t="s">
        <v>843</v>
      </c>
      <c r="U157" s="16" t="s">
        <v>129</v>
      </c>
    </row>
    <row r="158" spans="1:21" ht="60" customHeight="1">
      <c r="A158" s="15">
        <v>154</v>
      </c>
      <c r="B158" s="16" t="s">
        <v>74</v>
      </c>
      <c r="C158" s="17" t="s">
        <v>672</v>
      </c>
      <c r="D158" s="17" t="s">
        <v>1139</v>
      </c>
      <c r="E158" s="15" t="s">
        <v>1140</v>
      </c>
      <c r="F158" s="18" t="str">
        <f>HYPERLINK("https://www.city.urasoe.lg.jp/jigyosya/sangyo/","浦添市産業振興センター結の街連動補助")</f>
        <v>浦添市産業振興センター結の街連動補助</v>
      </c>
      <c r="G158" s="17" t="s">
        <v>1141</v>
      </c>
      <c r="H158" s="17" t="s">
        <v>1142</v>
      </c>
      <c r="I158" s="17" t="s">
        <v>80</v>
      </c>
      <c r="J158" s="17" t="s">
        <v>1084</v>
      </c>
      <c r="K158" s="17" t="s">
        <v>304</v>
      </c>
      <c r="L158" s="15" t="s">
        <v>385</v>
      </c>
      <c r="M158" s="15" t="s">
        <v>124</v>
      </c>
      <c r="N158" s="15" t="s">
        <v>124</v>
      </c>
      <c r="O158" s="17" t="s">
        <v>1143</v>
      </c>
      <c r="P158" s="17" t="s">
        <v>1144</v>
      </c>
      <c r="Q158" s="15" t="s">
        <v>356</v>
      </c>
      <c r="R158" s="17" t="s">
        <v>102</v>
      </c>
      <c r="S158" s="15" t="s">
        <v>90</v>
      </c>
      <c r="T158" s="17" t="s">
        <v>843</v>
      </c>
      <c r="U158" s="16" t="s">
        <v>129</v>
      </c>
    </row>
    <row r="159" spans="1:21" ht="60" customHeight="1">
      <c r="A159" s="15">
        <v>155</v>
      </c>
      <c r="B159" s="16" t="s">
        <v>74</v>
      </c>
      <c r="C159" s="17" t="s">
        <v>117</v>
      </c>
      <c r="D159" s="17" t="s">
        <v>1145</v>
      </c>
      <c r="E159" s="15" t="s">
        <v>1146</v>
      </c>
      <c r="F159" s="18" t="str">
        <f>HYPERLINK("https://www.city.ginowan.lg.jp/sosiki/keizaikankou/","宜野湾市商工振興補助金")</f>
        <v>宜野湾市商工振興補助金</v>
      </c>
      <c r="G159" s="17" t="s">
        <v>1147</v>
      </c>
      <c r="H159" s="17" t="s">
        <v>1148</v>
      </c>
      <c r="I159" s="17" t="s">
        <v>80</v>
      </c>
      <c r="J159" s="17" t="s">
        <v>1084</v>
      </c>
      <c r="K159" s="17" t="s">
        <v>304</v>
      </c>
      <c r="L159" s="15" t="s">
        <v>385</v>
      </c>
      <c r="M159" s="15" t="s">
        <v>124</v>
      </c>
      <c r="N159" s="15" t="s">
        <v>124</v>
      </c>
      <c r="O159" s="17" t="s">
        <v>1149</v>
      </c>
      <c r="P159" s="17" t="s">
        <v>1045</v>
      </c>
      <c r="Q159" s="15" t="s">
        <v>247</v>
      </c>
      <c r="R159" s="17" t="s">
        <v>102</v>
      </c>
      <c r="S159" s="15" t="s">
        <v>90</v>
      </c>
      <c r="T159" s="17" t="s">
        <v>843</v>
      </c>
      <c r="U159" s="16" t="s">
        <v>129</v>
      </c>
    </row>
    <row r="160" spans="1:21" ht="60" customHeight="1">
      <c r="A160" s="15">
        <v>156</v>
      </c>
      <c r="B160" s="16" t="s">
        <v>74</v>
      </c>
      <c r="C160" s="17" t="s">
        <v>672</v>
      </c>
      <c r="D160" s="17" t="s">
        <v>1150</v>
      </c>
      <c r="E160" s="15" t="s">
        <v>1151</v>
      </c>
      <c r="F160" s="18" t="str">
        <f>HYPERLINK("https://www.city.hiroshima.lg.jp/site/keizai/","広島市創業支援補助金")</f>
        <v>広島市創業支援補助金</v>
      </c>
      <c r="G160" s="17" t="s">
        <v>1152</v>
      </c>
      <c r="H160" s="17" t="s">
        <v>1153</v>
      </c>
      <c r="I160" s="17" t="s">
        <v>80</v>
      </c>
      <c r="J160" s="17" t="s">
        <v>1091</v>
      </c>
      <c r="K160" s="17" t="s">
        <v>304</v>
      </c>
      <c r="L160" s="15" t="s">
        <v>385</v>
      </c>
      <c r="M160" s="15" t="s">
        <v>124</v>
      </c>
      <c r="N160" s="15" t="s">
        <v>124</v>
      </c>
      <c r="O160" s="17" t="s">
        <v>1106</v>
      </c>
      <c r="P160" s="17" t="s">
        <v>1154</v>
      </c>
      <c r="Q160" s="15" t="s">
        <v>49</v>
      </c>
      <c r="R160" s="17" t="s">
        <v>102</v>
      </c>
      <c r="S160" s="15" t="s">
        <v>90</v>
      </c>
      <c r="T160" s="17" t="s">
        <v>843</v>
      </c>
      <c r="U160" s="16" t="s">
        <v>129</v>
      </c>
    </row>
    <row r="161" spans="1:21" ht="60" customHeight="1">
      <c r="A161" s="15">
        <v>157</v>
      </c>
      <c r="B161" s="16" t="s">
        <v>74</v>
      </c>
      <c r="C161" s="17" t="s">
        <v>117</v>
      </c>
      <c r="D161" s="17" t="s">
        <v>1155</v>
      </c>
      <c r="E161" s="15" t="s">
        <v>1151</v>
      </c>
      <c r="F161" s="18" t="str">
        <f>HYPERLINK("https://www.city.hiroshima.lg.jp/site/keizai/","広島市中小企業助成金（販路開拓・展示会出展）")</f>
        <v>広島市中小企業助成金（販路開拓・展示会出展）</v>
      </c>
      <c r="G161" s="17" t="s">
        <v>1152</v>
      </c>
      <c r="H161" s="17" t="s">
        <v>1153</v>
      </c>
      <c r="I161" s="17" t="s">
        <v>80</v>
      </c>
      <c r="J161" s="17" t="s">
        <v>1084</v>
      </c>
      <c r="K161" s="17" t="s">
        <v>304</v>
      </c>
      <c r="L161" s="15" t="s">
        <v>385</v>
      </c>
      <c r="M161" s="15" t="s">
        <v>124</v>
      </c>
      <c r="N161" s="15" t="s">
        <v>124</v>
      </c>
      <c r="O161" s="17" t="s">
        <v>1156</v>
      </c>
      <c r="P161" s="17" t="s">
        <v>1157</v>
      </c>
      <c r="Q161" s="15" t="s">
        <v>88</v>
      </c>
      <c r="R161" s="17" t="s">
        <v>102</v>
      </c>
      <c r="S161" s="15" t="s">
        <v>90</v>
      </c>
      <c r="T161" s="17" t="s">
        <v>843</v>
      </c>
      <c r="U161" s="16" t="s">
        <v>129</v>
      </c>
    </row>
    <row r="162" spans="1:21" ht="60" customHeight="1">
      <c r="A162" s="15">
        <v>158</v>
      </c>
      <c r="B162" s="16" t="s">
        <v>74</v>
      </c>
      <c r="C162" s="17" t="s">
        <v>117</v>
      </c>
      <c r="D162" s="17" t="s">
        <v>1158</v>
      </c>
      <c r="E162" s="15" t="s">
        <v>1159</v>
      </c>
      <c r="F162" s="18" t="str">
        <f>HYPERLINK("https://www.city.chiyoda.lg.jp/koho/shigoto/jigyosho/josei/hanrokakudai.html","千代田区 中小企業販路拡大事業支援補助")</f>
        <v>千代田区 中小企業販路拡大事業支援補助</v>
      </c>
      <c r="G162" s="17" t="s">
        <v>1160</v>
      </c>
      <c r="H162" s="17" t="s">
        <v>1161</v>
      </c>
      <c r="I162" s="17" t="s">
        <v>80</v>
      </c>
      <c r="J162" s="17" t="s">
        <v>1162</v>
      </c>
      <c r="K162" s="15" t="s">
        <v>1163</v>
      </c>
      <c r="L162" s="15" t="s">
        <v>123</v>
      </c>
      <c r="M162" s="15" t="s">
        <v>948</v>
      </c>
      <c r="N162" s="17" t="s">
        <v>138</v>
      </c>
      <c r="O162" s="17" t="s">
        <v>1164</v>
      </c>
      <c r="P162" s="17" t="s">
        <v>1165</v>
      </c>
      <c r="Q162" s="15" t="s">
        <v>1005</v>
      </c>
      <c r="R162" s="17" t="s">
        <v>89</v>
      </c>
      <c r="S162" s="15" t="s">
        <v>90</v>
      </c>
      <c r="T162" s="17" t="s">
        <v>199</v>
      </c>
      <c r="U162" s="16" t="s">
        <v>200</v>
      </c>
    </row>
    <row r="163" spans="1:21" ht="60" customHeight="1">
      <c r="A163" s="15">
        <v>159</v>
      </c>
      <c r="B163" s="16" t="s">
        <v>74</v>
      </c>
      <c r="C163" s="17" t="s">
        <v>117</v>
      </c>
      <c r="D163" s="17" t="s">
        <v>1166</v>
      </c>
      <c r="E163" s="15" t="s">
        <v>1167</v>
      </c>
      <c r="F163" s="18" t="str">
        <f>HYPERLINK("https://www.city.setagaya.lg.jp/03647/10943.html","世田谷区 ビジネスマッチングイベント出展支援事業補助金")</f>
        <v>世田谷区 ビジネスマッチングイベント出展支援事業補助金</v>
      </c>
      <c r="G163" s="17" t="s">
        <v>1168</v>
      </c>
      <c r="H163" s="17" t="s">
        <v>1169</v>
      </c>
      <c r="I163" s="17" t="s">
        <v>80</v>
      </c>
      <c r="J163" s="17" t="s">
        <v>1170</v>
      </c>
      <c r="K163" s="17" t="s">
        <v>1000</v>
      </c>
      <c r="L163" s="15" t="s">
        <v>385</v>
      </c>
      <c r="M163" s="15" t="s">
        <v>948</v>
      </c>
      <c r="N163" s="17" t="s">
        <v>138</v>
      </c>
      <c r="O163" s="17" t="s">
        <v>1171</v>
      </c>
      <c r="P163" s="17" t="s">
        <v>1172</v>
      </c>
      <c r="Q163" s="15" t="s">
        <v>1005</v>
      </c>
      <c r="R163" s="17" t="s">
        <v>89</v>
      </c>
      <c r="S163" s="15" t="s">
        <v>90</v>
      </c>
      <c r="T163" s="17" t="s">
        <v>199</v>
      </c>
      <c r="U163" s="16" t="s">
        <v>200</v>
      </c>
    </row>
    <row r="164" spans="1:21" ht="60" customHeight="1">
      <c r="A164" s="15">
        <v>160</v>
      </c>
      <c r="B164" s="16" t="s">
        <v>74</v>
      </c>
      <c r="C164" s="17" t="s">
        <v>75</v>
      </c>
      <c r="D164" s="17" t="s">
        <v>1173</v>
      </c>
      <c r="E164" s="15" t="s">
        <v>1174</v>
      </c>
      <c r="F164" s="18" t="str">
        <f>HYPERLINK("https://www.city.kawasaki.jp/keizai/index.html","川崎市 中小企業成長環境支援補助金（令和8年度）")</f>
        <v>川崎市 中小企業成長環境支援補助金（令和8年度）</v>
      </c>
      <c r="G164" s="17" t="s">
        <v>1175</v>
      </c>
      <c r="H164" s="17" t="s">
        <v>1176</v>
      </c>
      <c r="I164" s="17" t="s">
        <v>80</v>
      </c>
      <c r="J164" s="17" t="s">
        <v>1084</v>
      </c>
      <c r="K164" s="17" t="s">
        <v>840</v>
      </c>
      <c r="L164" s="15" t="s">
        <v>385</v>
      </c>
      <c r="M164" s="15" t="s">
        <v>967</v>
      </c>
      <c r="N164" s="15" t="s">
        <v>1177</v>
      </c>
      <c r="O164" s="17" t="s">
        <v>1178</v>
      </c>
      <c r="P164" s="17" t="s">
        <v>1179</v>
      </c>
      <c r="Q164" s="15" t="s">
        <v>1067</v>
      </c>
      <c r="R164" s="17" t="s">
        <v>102</v>
      </c>
      <c r="S164" s="15" t="s">
        <v>90</v>
      </c>
      <c r="T164" s="17" t="s">
        <v>843</v>
      </c>
      <c r="U164" s="16" t="s">
        <v>129</v>
      </c>
    </row>
    <row r="165" spans="1:21" ht="60" customHeight="1">
      <c r="A165" s="15">
        <v>161</v>
      </c>
      <c r="B165" s="22" t="s">
        <v>473</v>
      </c>
      <c r="C165" s="17" t="s">
        <v>498</v>
      </c>
      <c r="D165" s="17" t="s">
        <v>1180</v>
      </c>
      <c r="E165" s="15" t="s">
        <v>1181</v>
      </c>
      <c r="F165" s="18" t="str">
        <f>HYPERLINK("https://www.city.suginami.tokyo.jp/guide/kankyo/index.html","杉並区 エコ住宅促進助成（窓等断熱改修）")</f>
        <v>杉並区 エコ住宅促進助成（窓等断熱改修）</v>
      </c>
      <c r="G165" s="17" t="s">
        <v>989</v>
      </c>
      <c r="H165" s="17" t="s">
        <v>990</v>
      </c>
      <c r="I165" s="17" t="s">
        <v>80</v>
      </c>
      <c r="J165" s="17" t="s">
        <v>1182</v>
      </c>
      <c r="K165" s="17" t="s">
        <v>304</v>
      </c>
      <c r="L165" s="17" t="s">
        <v>1183</v>
      </c>
      <c r="M165" s="15" t="s">
        <v>124</v>
      </c>
      <c r="N165" s="15" t="s">
        <v>124</v>
      </c>
      <c r="O165" s="17" t="s">
        <v>1184</v>
      </c>
      <c r="P165" s="17" t="s">
        <v>1185</v>
      </c>
      <c r="Q165" s="15" t="s">
        <v>213</v>
      </c>
      <c r="R165" s="17" t="s">
        <v>102</v>
      </c>
      <c r="S165" s="15" t="s">
        <v>90</v>
      </c>
      <c r="T165" s="17" t="s">
        <v>843</v>
      </c>
      <c r="U165" s="16" t="s">
        <v>129</v>
      </c>
    </row>
    <row r="166" spans="1:21" ht="60" customHeight="1">
      <c r="A166" s="15">
        <v>162</v>
      </c>
      <c r="B166" s="22" t="s">
        <v>473</v>
      </c>
      <c r="C166" s="17" t="s">
        <v>474</v>
      </c>
      <c r="D166" s="17" t="s">
        <v>1186</v>
      </c>
      <c r="E166" s="15" t="s">
        <v>1187</v>
      </c>
      <c r="F166" s="18" t="str">
        <f>HYPERLINK("https://www.city.sagamihara.kanagawa.jp/sangyo/index.html","相模原市 スマートエネルギー設備等導入奨励金")</f>
        <v>相模原市 スマートエネルギー設備等導入奨励金</v>
      </c>
      <c r="G166" s="17" t="s">
        <v>1188</v>
      </c>
      <c r="H166" s="17" t="s">
        <v>1189</v>
      </c>
      <c r="I166" s="17" t="s">
        <v>80</v>
      </c>
      <c r="J166" s="17" t="s">
        <v>1190</v>
      </c>
      <c r="K166" s="17" t="s">
        <v>1183</v>
      </c>
      <c r="L166" s="17" t="s">
        <v>1183</v>
      </c>
      <c r="M166" s="15" t="s">
        <v>124</v>
      </c>
      <c r="N166" s="15" t="s">
        <v>124</v>
      </c>
      <c r="O166" s="17" t="s">
        <v>1191</v>
      </c>
      <c r="P166" s="17" t="s">
        <v>1192</v>
      </c>
      <c r="Q166" s="15" t="s">
        <v>222</v>
      </c>
      <c r="R166" s="17" t="s">
        <v>89</v>
      </c>
      <c r="S166" s="15" t="s">
        <v>90</v>
      </c>
      <c r="T166" s="17" t="s">
        <v>843</v>
      </c>
      <c r="U166" s="16" t="s">
        <v>129</v>
      </c>
    </row>
    <row r="167" spans="1:21" ht="60" customHeight="1">
      <c r="A167" s="15">
        <v>163</v>
      </c>
      <c r="B167" s="22" t="s">
        <v>473</v>
      </c>
      <c r="C167" s="17" t="s">
        <v>474</v>
      </c>
      <c r="D167" s="17" t="s">
        <v>1193</v>
      </c>
      <c r="E167" s="15" t="s">
        <v>1187</v>
      </c>
      <c r="F167" s="18" t="str">
        <f>HYPERLINK("https://www.city.sagamihara.kanagawa.jp/sangyo/index.html","相模原市 次世代クリーンエネルギー自動車普及促進奨励金")</f>
        <v>相模原市 次世代クリーンエネルギー自動車普及促進奨励金</v>
      </c>
      <c r="G167" s="17" t="s">
        <v>1188</v>
      </c>
      <c r="H167" s="17" t="s">
        <v>1189</v>
      </c>
      <c r="I167" s="17" t="s">
        <v>80</v>
      </c>
      <c r="J167" s="17" t="s">
        <v>1190</v>
      </c>
      <c r="K167" s="17" t="s">
        <v>1183</v>
      </c>
      <c r="L167" s="17" t="s">
        <v>1183</v>
      </c>
      <c r="M167" s="15" t="s">
        <v>124</v>
      </c>
      <c r="N167" s="15" t="s">
        <v>124</v>
      </c>
      <c r="O167" s="15" t="s">
        <v>1194</v>
      </c>
      <c r="P167" s="17" t="s">
        <v>1195</v>
      </c>
      <c r="Q167" s="15" t="s">
        <v>222</v>
      </c>
      <c r="R167" s="17" t="s">
        <v>89</v>
      </c>
      <c r="S167" s="15" t="s">
        <v>90</v>
      </c>
      <c r="T167" s="17" t="s">
        <v>843</v>
      </c>
      <c r="U167" s="16" t="s">
        <v>129</v>
      </c>
    </row>
    <row r="168" spans="1:21" ht="60" customHeight="1">
      <c r="A168" s="15">
        <v>164</v>
      </c>
      <c r="B168" s="19" t="s">
        <v>130</v>
      </c>
      <c r="C168" s="17" t="s">
        <v>131</v>
      </c>
      <c r="D168" s="17" t="s">
        <v>1196</v>
      </c>
      <c r="E168" s="15" t="s">
        <v>1197</v>
      </c>
      <c r="F168" s="18" t="str">
        <f>HYPERLINK("https://www.city.hiroshima.lg.jp/business/sangyo/1021490/1024252/1017530.html","広島市 中山間地域における中小企業の人材確保支援事業補助金")</f>
        <v>広島市 中山間地域における中小企業の人材確保支援事業補助金</v>
      </c>
      <c r="G168" s="17" t="s">
        <v>1152</v>
      </c>
      <c r="H168" s="17" t="s">
        <v>1153</v>
      </c>
      <c r="I168" s="17" t="s">
        <v>80</v>
      </c>
      <c r="J168" s="17" t="s">
        <v>1198</v>
      </c>
      <c r="K168" s="17" t="s">
        <v>1199</v>
      </c>
      <c r="L168" s="17" t="s">
        <v>137</v>
      </c>
      <c r="M168" s="15" t="s">
        <v>948</v>
      </c>
      <c r="N168" s="15" t="s">
        <v>1200</v>
      </c>
      <c r="O168" s="17" t="s">
        <v>1201</v>
      </c>
      <c r="P168" s="17" t="s">
        <v>1202</v>
      </c>
      <c r="Q168" s="15" t="s">
        <v>127</v>
      </c>
      <c r="R168" s="17" t="s">
        <v>102</v>
      </c>
      <c r="S168" s="15" t="s">
        <v>90</v>
      </c>
      <c r="T168" s="17" t="s">
        <v>843</v>
      </c>
      <c r="U168" s="16" t="s">
        <v>129</v>
      </c>
    </row>
    <row r="169" spans="1:21" ht="60" customHeight="1">
      <c r="A169" s="15">
        <v>165</v>
      </c>
      <c r="B169" s="21" t="s">
        <v>357</v>
      </c>
      <c r="C169" s="17" t="s">
        <v>1203</v>
      </c>
      <c r="D169" s="17" t="s">
        <v>1204</v>
      </c>
      <c r="E169" s="15" t="s">
        <v>1205</v>
      </c>
      <c r="F169" s="18" t="str">
        <f>HYPERLINK("https://www.jfc.go.jp/n/finance/search/07_keieisien_m.html","日本政策金融公庫 セーフティネット貸付（経営環境変化対応資金）")</f>
        <v>日本政策金融公庫 セーフティネット貸付（経営環境変化対応資金）</v>
      </c>
      <c r="G169" s="17" t="s">
        <v>437</v>
      </c>
      <c r="H169" s="17" t="s">
        <v>79</v>
      </c>
      <c r="I169" s="17" t="s">
        <v>80</v>
      </c>
      <c r="J169" s="17" t="s">
        <v>362</v>
      </c>
      <c r="K169" s="17" t="s">
        <v>1206</v>
      </c>
      <c r="L169" s="17" t="s">
        <v>1207</v>
      </c>
      <c r="M169" s="17" t="s">
        <v>138</v>
      </c>
      <c r="N169" s="17" t="s">
        <v>1208</v>
      </c>
      <c r="O169" s="17" t="s">
        <v>1209</v>
      </c>
      <c r="P169" s="17" t="s">
        <v>1210</v>
      </c>
      <c r="Q169" s="15" t="s">
        <v>222</v>
      </c>
      <c r="R169" s="17" t="s">
        <v>89</v>
      </c>
      <c r="S169" s="15" t="s">
        <v>90</v>
      </c>
      <c r="T169" s="17" t="s">
        <v>443</v>
      </c>
      <c r="U169" s="19" t="s">
        <v>138</v>
      </c>
    </row>
    <row r="170" spans="1:21" ht="60" customHeight="1">
      <c r="A170" s="15">
        <v>166</v>
      </c>
      <c r="B170" s="21" t="s">
        <v>357</v>
      </c>
      <c r="C170" s="17" t="s">
        <v>1203</v>
      </c>
      <c r="D170" s="17" t="s">
        <v>1211</v>
      </c>
      <c r="E170" s="15" t="s">
        <v>1212</v>
      </c>
      <c r="F170" s="18" t="str">
        <f>HYPERLINK("https://www.chusho.meti.go.jp/keiei/antei/kokusai_josei/index.html","中東・ウクライナ情勢・原油価格上昇等に関する特別相談窓口")</f>
        <v>中東・ウクライナ情勢・原油価格上昇等に関する特別相談窓口</v>
      </c>
      <c r="G170" s="17" t="s">
        <v>1213</v>
      </c>
      <c r="H170" s="17" t="s">
        <v>79</v>
      </c>
      <c r="I170" s="17" t="s">
        <v>80</v>
      </c>
      <c r="J170" s="17" t="s">
        <v>362</v>
      </c>
      <c r="K170" s="17" t="s">
        <v>1214</v>
      </c>
      <c r="L170" s="17" t="s">
        <v>332</v>
      </c>
      <c r="M170" s="15" t="s">
        <v>1215</v>
      </c>
      <c r="N170" s="17" t="s">
        <v>1216</v>
      </c>
      <c r="O170" s="17" t="s">
        <v>1217</v>
      </c>
      <c r="P170" s="17" t="s">
        <v>1218</v>
      </c>
      <c r="Q170" s="15" t="s">
        <v>213</v>
      </c>
      <c r="R170" s="17" t="s">
        <v>89</v>
      </c>
      <c r="S170" s="15" t="s">
        <v>90</v>
      </c>
      <c r="T170" s="17" t="s">
        <v>1216</v>
      </c>
      <c r="U170" s="19" t="s">
        <v>138</v>
      </c>
    </row>
    <row r="171" spans="1:21" ht="60" customHeight="1">
      <c r="A171" s="15">
        <v>167</v>
      </c>
      <c r="B171" s="21" t="s">
        <v>357</v>
      </c>
      <c r="C171" s="17" t="s">
        <v>1203</v>
      </c>
      <c r="D171" s="17" t="s">
        <v>1219</v>
      </c>
      <c r="E171" s="15" t="s">
        <v>1220</v>
      </c>
      <c r="F171" s="18" t="str">
        <f>HYPERLINK("https://www.chusho.meti.go.jp/kinyu/sefu_net_5gou.html","セーフティネット保証5号（業況悪化業種・全国）")</f>
        <v>セーフティネット保証5号（業況悪化業種・全国）</v>
      </c>
      <c r="G171" s="17" t="s">
        <v>1221</v>
      </c>
      <c r="H171" s="17" t="s">
        <v>79</v>
      </c>
      <c r="I171" s="17" t="s">
        <v>1222</v>
      </c>
      <c r="J171" s="17" t="s">
        <v>1223</v>
      </c>
      <c r="K171" s="17" t="s">
        <v>1224</v>
      </c>
      <c r="L171" s="17" t="s">
        <v>1225</v>
      </c>
      <c r="M171" s="15" t="s">
        <v>1226</v>
      </c>
      <c r="N171" s="17" t="s">
        <v>1227</v>
      </c>
      <c r="O171" s="17" t="s">
        <v>1228</v>
      </c>
      <c r="P171" s="17" t="s">
        <v>1229</v>
      </c>
      <c r="Q171" s="15" t="s">
        <v>222</v>
      </c>
      <c r="R171" s="17" t="s">
        <v>102</v>
      </c>
      <c r="S171" s="15" t="s">
        <v>90</v>
      </c>
      <c r="T171" s="17" t="s">
        <v>1230</v>
      </c>
      <c r="U171" s="16" t="s">
        <v>1231</v>
      </c>
    </row>
    <row r="172" spans="1:21" ht="60" customHeight="1">
      <c r="A172" s="15">
        <v>168</v>
      </c>
      <c r="B172" s="21" t="s">
        <v>357</v>
      </c>
      <c r="C172" s="17" t="s">
        <v>1203</v>
      </c>
      <c r="D172" s="17" t="s">
        <v>1232</v>
      </c>
      <c r="E172" s="15" t="s">
        <v>1233</v>
      </c>
      <c r="F172" s="18" t="str">
        <f>HYPERLINK("https://www.chusho.meti.go.jp/kinyu/sefu_net_4gou.htm","セーフティネット保証4号（突発的災害・全国指定時）")</f>
        <v>セーフティネット保証4号（突発的災害・全国指定時）</v>
      </c>
      <c r="G172" s="17" t="s">
        <v>1221</v>
      </c>
      <c r="H172" s="17" t="s">
        <v>1234</v>
      </c>
      <c r="I172" s="17" t="s">
        <v>1235</v>
      </c>
      <c r="J172" s="17" t="s">
        <v>1236</v>
      </c>
      <c r="K172" s="17" t="s">
        <v>1237</v>
      </c>
      <c r="L172" s="17" t="s">
        <v>1225</v>
      </c>
      <c r="M172" s="17" t="s">
        <v>1238</v>
      </c>
      <c r="N172" s="17" t="s">
        <v>1227</v>
      </c>
      <c r="O172" s="17" t="s">
        <v>1239</v>
      </c>
      <c r="P172" s="17" t="s">
        <v>1240</v>
      </c>
      <c r="Q172" s="15" t="s">
        <v>222</v>
      </c>
      <c r="R172" s="17" t="s">
        <v>102</v>
      </c>
      <c r="S172" s="15" t="s">
        <v>90</v>
      </c>
      <c r="T172" s="17" t="s">
        <v>1241</v>
      </c>
      <c r="U172" s="16" t="s">
        <v>1242</v>
      </c>
    </row>
    <row r="173" spans="1:21" ht="60" customHeight="1">
      <c r="A173" s="15">
        <v>169</v>
      </c>
      <c r="B173" s="21" t="s">
        <v>357</v>
      </c>
      <c r="C173" s="17" t="s">
        <v>1203</v>
      </c>
      <c r="D173" s="17" t="s">
        <v>1243</v>
      </c>
      <c r="E173" s="15" t="s">
        <v>1244</v>
      </c>
      <c r="F173" s="18" t="str">
        <f>HYPERLINK("https://www.chusho.meti.go.jp/kinyu/sefu_net_gaiyou.html","モニタリング強化型保証制度（物価高・人手不足対応）")</f>
        <v>モニタリング強化型保証制度（物価高・人手不足対応）</v>
      </c>
      <c r="G173" s="17" t="s">
        <v>1245</v>
      </c>
      <c r="H173" s="17" t="s">
        <v>79</v>
      </c>
      <c r="I173" s="17" t="s">
        <v>80</v>
      </c>
      <c r="J173" s="17" t="s">
        <v>1246</v>
      </c>
      <c r="K173" s="17" t="s">
        <v>1247</v>
      </c>
      <c r="L173" s="17" t="s">
        <v>1248</v>
      </c>
      <c r="M173" s="15" t="s">
        <v>1249</v>
      </c>
      <c r="N173" s="17" t="s">
        <v>1250</v>
      </c>
      <c r="O173" s="17" t="s">
        <v>1251</v>
      </c>
      <c r="P173" s="17" t="s">
        <v>1252</v>
      </c>
      <c r="Q173" s="15" t="s">
        <v>88</v>
      </c>
      <c r="R173" s="17" t="s">
        <v>102</v>
      </c>
      <c r="S173" s="15" t="s">
        <v>90</v>
      </c>
      <c r="T173" s="17" t="s">
        <v>1253</v>
      </c>
      <c r="U173" s="16" t="s">
        <v>200</v>
      </c>
    </row>
    <row r="174" spans="1:21" ht="60" customHeight="1">
      <c r="A174" s="15">
        <v>170</v>
      </c>
      <c r="B174" s="21" t="s">
        <v>357</v>
      </c>
      <c r="C174" s="17" t="s">
        <v>1203</v>
      </c>
      <c r="D174" s="17" t="s">
        <v>1254</v>
      </c>
      <c r="E174" s="15" t="s">
        <v>1255</v>
      </c>
      <c r="F174" s="18" t="str">
        <f>HYPERLINK("https://www.jfc.go.jp/n/finance/search/06_torihikikigyou_m.html","日本政策金融公庫 取引企業倒産対応資金")</f>
        <v>日本政策金融公庫 取引企業倒産対応資金</v>
      </c>
      <c r="G174" s="17" t="s">
        <v>437</v>
      </c>
      <c r="H174" s="17" t="s">
        <v>79</v>
      </c>
      <c r="I174" s="17" t="s">
        <v>80</v>
      </c>
      <c r="J174" s="17" t="s">
        <v>1256</v>
      </c>
      <c r="K174" s="17" t="s">
        <v>1257</v>
      </c>
      <c r="L174" s="17" t="s">
        <v>638</v>
      </c>
      <c r="M174" s="17" t="s">
        <v>138</v>
      </c>
      <c r="N174" s="17" t="s">
        <v>1208</v>
      </c>
      <c r="O174" s="17" t="s">
        <v>1258</v>
      </c>
      <c r="P174" s="17" t="s">
        <v>1259</v>
      </c>
      <c r="Q174" s="15" t="s">
        <v>222</v>
      </c>
      <c r="R174" s="17" t="s">
        <v>102</v>
      </c>
      <c r="S174" s="15" t="s">
        <v>90</v>
      </c>
      <c r="T174" s="17" t="s">
        <v>443</v>
      </c>
      <c r="U174" s="19" t="s">
        <v>138</v>
      </c>
    </row>
    <row r="175" spans="1:21" ht="60" customHeight="1">
      <c r="A175" s="15">
        <v>171</v>
      </c>
      <c r="B175" s="21" t="s">
        <v>357</v>
      </c>
      <c r="C175" s="17" t="s">
        <v>1203</v>
      </c>
      <c r="D175" s="17" t="s">
        <v>1260</v>
      </c>
      <c r="E175" s="15" t="s">
        <v>1261</v>
      </c>
      <c r="F175" s="18" t="str">
        <f>HYPERLINK("https://www.shinkin.co.jp/seibu/business/loan/middle_east_loan.html","民間金融機関 中東情勢対応ローン（例：信用金庫等の独自融資）")</f>
        <v>民間金融機関 中東情勢対応ローン（例：信用金庫等の独自融資）</v>
      </c>
      <c r="G175" s="17" t="s">
        <v>1262</v>
      </c>
      <c r="H175" s="17" t="s">
        <v>1263</v>
      </c>
      <c r="I175" s="17" t="s">
        <v>80</v>
      </c>
      <c r="J175" s="17" t="s">
        <v>1264</v>
      </c>
      <c r="K175" s="17" t="s">
        <v>1265</v>
      </c>
      <c r="L175" s="17" t="s">
        <v>1266</v>
      </c>
      <c r="M175" s="17" t="s">
        <v>1267</v>
      </c>
      <c r="N175" s="17" t="s">
        <v>1268</v>
      </c>
      <c r="O175" s="17" t="s">
        <v>1269</v>
      </c>
      <c r="P175" s="17" t="s">
        <v>1270</v>
      </c>
      <c r="Q175" s="15" t="s">
        <v>222</v>
      </c>
      <c r="R175" s="17" t="s">
        <v>89</v>
      </c>
      <c r="S175" s="15" t="s">
        <v>90</v>
      </c>
      <c r="T175" s="17" t="s">
        <v>1271</v>
      </c>
      <c r="U175" s="16" t="s">
        <v>1272</v>
      </c>
    </row>
    <row r="176" spans="1:21" ht="60" customHeight="1">
      <c r="A176" s="15">
        <v>172</v>
      </c>
      <c r="B176" s="19" t="s">
        <v>130</v>
      </c>
      <c r="C176" s="17" t="s">
        <v>131</v>
      </c>
      <c r="D176" s="17" t="s">
        <v>1273</v>
      </c>
      <c r="E176" s="15" t="s">
        <v>162</v>
      </c>
      <c r="F176" s="18" t="str">
        <f>HYPERLINK("https://www.mhlw.go.jp/stf/seisakunitsuite/bunya/koyou_roudou/koyou/kyufukin/pageL07.html","雇用調整助成金（燃油高騰・経済上の理由による休業対応）")</f>
        <v>雇用調整助成金（燃油高騰・経済上の理由による休業対応）</v>
      </c>
      <c r="G176" s="17" t="s">
        <v>134</v>
      </c>
      <c r="H176" s="17" t="s">
        <v>79</v>
      </c>
      <c r="I176" s="17" t="s">
        <v>80</v>
      </c>
      <c r="J176" s="17" t="s">
        <v>135</v>
      </c>
      <c r="K176" s="15" t="s">
        <v>1274</v>
      </c>
      <c r="L176" s="15" t="s">
        <v>164</v>
      </c>
      <c r="M176" s="17" t="s">
        <v>138</v>
      </c>
      <c r="N176" s="17" t="s">
        <v>1275</v>
      </c>
      <c r="O176" s="17" t="s">
        <v>1276</v>
      </c>
      <c r="P176" s="17" t="s">
        <v>1277</v>
      </c>
      <c r="Q176" s="15" t="s">
        <v>88</v>
      </c>
      <c r="R176" s="17" t="s">
        <v>102</v>
      </c>
      <c r="S176" s="15" t="s">
        <v>90</v>
      </c>
      <c r="T176" s="17" t="s">
        <v>167</v>
      </c>
      <c r="U176" s="19" t="s">
        <v>138</v>
      </c>
    </row>
    <row r="177" spans="1:21" ht="60" customHeight="1">
      <c r="A177" s="15">
        <v>173</v>
      </c>
      <c r="B177" s="21" t="s">
        <v>357</v>
      </c>
      <c r="C177" s="17" t="s">
        <v>1203</v>
      </c>
      <c r="D177" s="17" t="s">
        <v>1278</v>
      </c>
      <c r="E177" s="15" t="s">
        <v>1279</v>
      </c>
      <c r="F177" s="18" t="str">
        <f>HYPERLINK("https://www.johas.go.jp/tatekae/tabid/177/Default.aspx","未払賃金立替払制度（倒産時の従業員保護）")</f>
        <v>未払賃金立替払制度（倒産時の従業員保護）</v>
      </c>
      <c r="G177" s="17" t="s">
        <v>1280</v>
      </c>
      <c r="H177" s="17" t="s">
        <v>79</v>
      </c>
      <c r="I177" s="17" t="s">
        <v>80</v>
      </c>
      <c r="J177" s="17" t="s">
        <v>1281</v>
      </c>
      <c r="K177" s="17" t="s">
        <v>1282</v>
      </c>
      <c r="L177" s="17" t="s">
        <v>1283</v>
      </c>
      <c r="M177" s="17" t="s">
        <v>138</v>
      </c>
      <c r="N177" s="17" t="s">
        <v>1284</v>
      </c>
      <c r="O177" s="17" t="s">
        <v>1285</v>
      </c>
      <c r="P177" s="17" t="s">
        <v>1286</v>
      </c>
      <c r="Q177" s="15" t="s">
        <v>222</v>
      </c>
      <c r="R177" s="17" t="s">
        <v>102</v>
      </c>
      <c r="S177" s="15" t="s">
        <v>90</v>
      </c>
      <c r="T177" s="17" t="s">
        <v>1287</v>
      </c>
      <c r="U177" s="23" t="s">
        <v>1288</v>
      </c>
    </row>
    <row r="178" spans="1:21" ht="60" customHeight="1">
      <c r="A178" s="15">
        <v>174</v>
      </c>
      <c r="B178" s="22" t="s">
        <v>473</v>
      </c>
      <c r="C178" s="17" t="s">
        <v>474</v>
      </c>
      <c r="D178" s="17" t="s">
        <v>1289</v>
      </c>
      <c r="E178" s="15" t="s">
        <v>1290</v>
      </c>
      <c r="F178" s="18" t="str">
        <f>HYPERLINK("https://www.enecho.meti.go.jp/category/resources_and_fuel/distribution/hogeki/","燃料油価格激変緩和措置（ガソリン・軽油・灯油・重油補助）")</f>
        <v>燃料油価格激変緩和措置（ガソリン・軽油・灯油・重油補助）</v>
      </c>
      <c r="G178" s="17" t="s">
        <v>1291</v>
      </c>
      <c r="H178" s="17" t="s">
        <v>79</v>
      </c>
      <c r="I178" s="17" t="s">
        <v>80</v>
      </c>
      <c r="J178" s="17" t="s">
        <v>1292</v>
      </c>
      <c r="K178" s="17" t="s">
        <v>1293</v>
      </c>
      <c r="L178" s="17" t="s">
        <v>332</v>
      </c>
      <c r="M178" s="15" t="s">
        <v>1294</v>
      </c>
      <c r="N178" s="17" t="s">
        <v>1295</v>
      </c>
      <c r="O178" s="17" t="s">
        <v>1296</v>
      </c>
      <c r="P178" s="17" t="s">
        <v>1297</v>
      </c>
      <c r="Q178" s="15" t="s">
        <v>213</v>
      </c>
      <c r="R178" s="17" t="s">
        <v>89</v>
      </c>
      <c r="S178" s="15" t="s">
        <v>90</v>
      </c>
      <c r="T178" s="17" t="s">
        <v>1298</v>
      </c>
      <c r="U178" s="23" t="s">
        <v>1299</v>
      </c>
    </row>
    <row r="179" spans="1:21" ht="60" customHeight="1">
      <c r="A179" s="15">
        <v>175</v>
      </c>
      <c r="B179" s="16" t="s">
        <v>74</v>
      </c>
      <c r="C179" s="17" t="s">
        <v>75</v>
      </c>
      <c r="D179" s="17" t="s">
        <v>1300</v>
      </c>
      <c r="E179" s="15" t="s">
        <v>1301</v>
      </c>
      <c r="F179" s="15" t="str">
        <f>HYPERLINK("https://portal.monodukuri-hojo.jp/","ものづくり・商業・サービス生産性向上促進補助金（次回公募・第24次想定）")</f>
        <v>ものづくり・商業・サービス生産性向上促進補助金（次回公募・第24次想定）</v>
      </c>
      <c r="G179" s="17" t="s">
        <v>1302</v>
      </c>
      <c r="H179" s="17" t="s">
        <v>79</v>
      </c>
      <c r="I179" s="17" t="s">
        <v>80</v>
      </c>
      <c r="J179" s="17" t="s">
        <v>1303</v>
      </c>
      <c r="K179" s="17" t="s">
        <v>1304</v>
      </c>
      <c r="L179" s="15" t="s">
        <v>1305</v>
      </c>
      <c r="M179" s="17" t="s">
        <v>1306</v>
      </c>
      <c r="N179" s="17" t="s">
        <v>1307</v>
      </c>
      <c r="O179" s="17" t="s">
        <v>1308</v>
      </c>
      <c r="P179" s="15" t="s">
        <v>1309</v>
      </c>
      <c r="Q179" s="17" t="s">
        <v>1310</v>
      </c>
      <c r="R179" s="17" t="s">
        <v>1311</v>
      </c>
      <c r="S179" s="15" t="s">
        <v>90</v>
      </c>
      <c r="T179" s="17" t="s">
        <v>1312</v>
      </c>
      <c r="U179" s="20" t="s">
        <v>104</v>
      </c>
    </row>
    <row r="180" spans="1:21" ht="60" customHeight="1">
      <c r="A180" s="15">
        <v>176</v>
      </c>
      <c r="B180" s="16" t="s">
        <v>74</v>
      </c>
      <c r="C180" s="17" t="s">
        <v>657</v>
      </c>
      <c r="D180" s="17" t="s">
        <v>1313</v>
      </c>
      <c r="E180" s="15" t="s">
        <v>1314</v>
      </c>
      <c r="F180" s="15" t="str">
        <f>HYPERLINK("https://shinjigyou-shinshutsu.smrj.go.jp/","中小企業新事業進出補助金（次回公募・統合後の枠組み要確認）")</f>
        <v>中小企業新事業進出補助金（次回公募・統合後の枠組み要確認）</v>
      </c>
      <c r="G180" s="17" t="s">
        <v>78</v>
      </c>
      <c r="H180" s="17" t="s">
        <v>79</v>
      </c>
      <c r="I180" s="17" t="s">
        <v>80</v>
      </c>
      <c r="J180" s="17" t="s">
        <v>95</v>
      </c>
      <c r="K180" s="17" t="s">
        <v>1315</v>
      </c>
      <c r="L180" s="15" t="s">
        <v>1316</v>
      </c>
      <c r="M180" s="17" t="s">
        <v>1317</v>
      </c>
      <c r="N180" s="17" t="s">
        <v>1318</v>
      </c>
      <c r="O180" s="17" t="s">
        <v>1319</v>
      </c>
      <c r="P180" s="17" t="s">
        <v>1320</v>
      </c>
      <c r="Q180" s="17" t="s">
        <v>1321</v>
      </c>
      <c r="R180" s="17" t="s">
        <v>1311</v>
      </c>
      <c r="S180" s="15" t="s">
        <v>90</v>
      </c>
      <c r="T180" s="17" t="s">
        <v>1312</v>
      </c>
      <c r="U180" s="20" t="s">
        <v>104</v>
      </c>
    </row>
    <row r="181" spans="1:21" ht="60" customHeight="1">
      <c r="A181" s="15">
        <v>177</v>
      </c>
      <c r="B181" s="16" t="s">
        <v>74</v>
      </c>
      <c r="C181" s="17" t="s">
        <v>657</v>
      </c>
      <c r="D181" s="17" t="s">
        <v>1322</v>
      </c>
      <c r="E181" s="15" t="s">
        <v>1323</v>
      </c>
      <c r="F181" s="15" t="str">
        <f>HYPERLINK("https://shoukei-mahojokin.go.jp/","事業承継・M&amp;A補助金（次回公募・第15次想定）")</f>
        <v>事業承継・M&amp;A補助金（次回公募・第15次想定）</v>
      </c>
      <c r="G181" s="17" t="s">
        <v>78</v>
      </c>
      <c r="H181" s="17" t="s">
        <v>79</v>
      </c>
      <c r="I181" s="17" t="s">
        <v>80</v>
      </c>
      <c r="J181" s="17" t="s">
        <v>95</v>
      </c>
      <c r="K181" s="17" t="s">
        <v>1324</v>
      </c>
      <c r="L181" s="15" t="s">
        <v>1325</v>
      </c>
      <c r="M181" s="17" t="s">
        <v>1326</v>
      </c>
      <c r="N181" s="17" t="s">
        <v>1327</v>
      </c>
      <c r="O181" s="17" t="s">
        <v>1328</v>
      </c>
      <c r="P181" s="17" t="s">
        <v>1329</v>
      </c>
      <c r="Q181" s="17" t="s">
        <v>1321</v>
      </c>
      <c r="R181" s="17" t="s">
        <v>1311</v>
      </c>
      <c r="S181" s="15" t="s">
        <v>90</v>
      </c>
      <c r="T181" s="17" t="s">
        <v>1312</v>
      </c>
      <c r="U181" s="20" t="s">
        <v>104</v>
      </c>
    </row>
    <row r="182" spans="1:21" ht="60" customHeight="1">
      <c r="A182" s="15">
        <v>178</v>
      </c>
      <c r="B182" s="16" t="s">
        <v>74</v>
      </c>
      <c r="C182" s="17" t="s">
        <v>672</v>
      </c>
      <c r="D182" s="17" t="s">
        <v>1330</v>
      </c>
      <c r="E182" s="15" t="s">
        <v>1331</v>
      </c>
      <c r="F182" s="15" t="str">
        <f>HYPERLINK("https://www.chusho.meti.go.jp/keiei/shokibo/jizoku/","小規模事業者持続化補助金〈創業型〉（次回公募）")</f>
        <v>小規模事業者持続化補助金〈創業型〉（次回公募）</v>
      </c>
      <c r="G182" s="17" t="s">
        <v>399</v>
      </c>
      <c r="H182" s="17" t="s">
        <v>79</v>
      </c>
      <c r="I182" s="17" t="s">
        <v>80</v>
      </c>
      <c r="J182" s="17" t="s">
        <v>1332</v>
      </c>
      <c r="K182" s="15" t="s">
        <v>1333</v>
      </c>
      <c r="L182" s="15" t="s">
        <v>1334</v>
      </c>
      <c r="M182" s="17" t="s">
        <v>1335</v>
      </c>
      <c r="N182" s="17" t="s">
        <v>1327</v>
      </c>
      <c r="O182" s="17" t="s">
        <v>1336</v>
      </c>
      <c r="P182" s="17" t="s">
        <v>1337</v>
      </c>
      <c r="Q182" s="17" t="s">
        <v>1338</v>
      </c>
      <c r="R182" s="17" t="s">
        <v>102</v>
      </c>
      <c r="S182" s="15" t="s">
        <v>90</v>
      </c>
      <c r="T182" s="17" t="s">
        <v>1312</v>
      </c>
      <c r="U182" s="20" t="s">
        <v>104</v>
      </c>
    </row>
    <row r="183" spans="1:21" ht="60" customHeight="1">
      <c r="A183" s="15">
        <v>179</v>
      </c>
      <c r="B183" s="16" t="s">
        <v>74</v>
      </c>
      <c r="C183" s="17" t="s">
        <v>117</v>
      </c>
      <c r="D183" s="17" t="s">
        <v>1339</v>
      </c>
      <c r="E183" s="15" t="s">
        <v>1331</v>
      </c>
      <c r="F183" s="15" t="str">
        <f>HYPERLINK("https://www.chusho.meti.go.jp/keiei/shokibo/jizoku/","小規模事業者持続化補助金〈一般型・通常枠〉（次回公募・第20回想定）")</f>
        <v>小規模事業者持続化補助金〈一般型・通常枠〉（次回公募・第20回想定）</v>
      </c>
      <c r="G183" s="17" t="s">
        <v>1340</v>
      </c>
      <c r="H183" s="17" t="s">
        <v>79</v>
      </c>
      <c r="I183" s="17" t="s">
        <v>80</v>
      </c>
      <c r="J183" s="17" t="s">
        <v>1341</v>
      </c>
      <c r="K183" s="15" t="s">
        <v>1342</v>
      </c>
      <c r="L183" s="15" t="s">
        <v>1343</v>
      </c>
      <c r="M183" s="17" t="s">
        <v>1344</v>
      </c>
      <c r="N183" s="17" t="s">
        <v>1345</v>
      </c>
      <c r="O183" s="17" t="s">
        <v>1346</v>
      </c>
      <c r="P183" s="15" t="s">
        <v>1347</v>
      </c>
      <c r="Q183" s="17" t="s">
        <v>1348</v>
      </c>
      <c r="R183" s="17" t="s">
        <v>102</v>
      </c>
      <c r="S183" s="15" t="s">
        <v>90</v>
      </c>
      <c r="T183" s="17" t="s">
        <v>1349</v>
      </c>
      <c r="U183" s="20" t="s">
        <v>104</v>
      </c>
    </row>
    <row r="184" spans="1:21" ht="60" customHeight="1">
      <c r="A184" s="15">
        <v>180</v>
      </c>
      <c r="B184" s="24" t="s">
        <v>357</v>
      </c>
      <c r="C184" s="15" t="s">
        <v>358</v>
      </c>
      <c r="D184" s="17" t="s">
        <v>1350</v>
      </c>
      <c r="E184" s="15" t="s">
        <v>1351</v>
      </c>
      <c r="F184" s="15" t="str">
        <f>HYPERLINK("https://www.tokyo-kosha.or.jp/support/josei/setsubijosei/cyber.html","サイバーセキュリティ対策促進助成金（次回公募・東京都）")</f>
        <v>サイバーセキュリティ対策促進助成金（次回公募・東京都）</v>
      </c>
      <c r="G184" s="17" t="s">
        <v>675</v>
      </c>
      <c r="H184" s="17" t="s">
        <v>676</v>
      </c>
      <c r="I184" s="17" t="s">
        <v>80</v>
      </c>
      <c r="J184" s="17" t="s">
        <v>1352</v>
      </c>
      <c r="K184" s="17" t="s">
        <v>695</v>
      </c>
      <c r="L184" s="15" t="s">
        <v>385</v>
      </c>
      <c r="M184" s="17" t="s">
        <v>1353</v>
      </c>
      <c r="N184" s="17" t="s">
        <v>1354</v>
      </c>
      <c r="O184" s="17" t="s">
        <v>1355</v>
      </c>
      <c r="P184" s="17" t="s">
        <v>1356</v>
      </c>
      <c r="Q184" s="17" t="s">
        <v>1357</v>
      </c>
      <c r="R184" s="17" t="s">
        <v>102</v>
      </c>
      <c r="S184" s="15" t="s">
        <v>90</v>
      </c>
      <c r="T184" s="17" t="s">
        <v>1312</v>
      </c>
      <c r="U184" s="20" t="s">
        <v>104</v>
      </c>
    </row>
    <row r="185" spans="1:21" ht="60" customHeight="1">
      <c r="A185" s="15">
        <v>181</v>
      </c>
      <c r="B185" s="16" t="s">
        <v>74</v>
      </c>
      <c r="C185" s="17" t="s">
        <v>75</v>
      </c>
      <c r="D185" s="17" t="s">
        <v>1358</v>
      </c>
      <c r="E185" s="15" t="s">
        <v>1359</v>
      </c>
      <c r="F185" s="15" t="str">
        <f>HYPERLINK("https://www.pref.chiba.lg.jp/keisei/zaisei/chiba-seichohojyo3.html","千葉県中小企業成長促進補助金（次回公募）")</f>
        <v>千葉県中小企業成長促進補助金（次回公募）</v>
      </c>
      <c r="G185" s="17" t="s">
        <v>838</v>
      </c>
      <c r="H185" s="17" t="s">
        <v>838</v>
      </c>
      <c r="I185" s="17" t="s">
        <v>80</v>
      </c>
      <c r="J185" s="17" t="s">
        <v>1360</v>
      </c>
      <c r="K185" s="17" t="s">
        <v>1361</v>
      </c>
      <c r="L185" s="15" t="s">
        <v>324</v>
      </c>
      <c r="M185" s="17" t="s">
        <v>1362</v>
      </c>
      <c r="N185" s="17" t="s">
        <v>1363</v>
      </c>
      <c r="O185" s="17" t="s">
        <v>1364</v>
      </c>
      <c r="P185" s="17" t="s">
        <v>1365</v>
      </c>
      <c r="Q185" s="17" t="s">
        <v>1366</v>
      </c>
      <c r="R185" s="17" t="s">
        <v>102</v>
      </c>
      <c r="S185" s="15" t="s">
        <v>90</v>
      </c>
      <c r="T185" s="17" t="s">
        <v>1312</v>
      </c>
      <c r="U185" s="20" t="s">
        <v>104</v>
      </c>
    </row>
    <row r="186" spans="1:21" ht="60" customHeight="1">
      <c r="A186" s="15">
        <v>182</v>
      </c>
      <c r="B186" s="16" t="s">
        <v>74</v>
      </c>
      <c r="C186" s="17" t="s">
        <v>672</v>
      </c>
      <c r="D186" s="17" t="s">
        <v>1367</v>
      </c>
      <c r="E186" s="15" t="s">
        <v>836</v>
      </c>
      <c r="F186" s="15" t="str">
        <f>HYPERLINK("https://www.ccjc-net.or.jp/category_list.php?frmCd=48-1-1-0-0","ちば創業応援助成金（次回公募）")</f>
        <v>ちば創業応援助成金（次回公募）</v>
      </c>
      <c r="G186" s="17" t="s">
        <v>837</v>
      </c>
      <c r="H186" s="17" t="s">
        <v>838</v>
      </c>
      <c r="I186" s="17" t="s">
        <v>80</v>
      </c>
      <c r="J186" s="17" t="s">
        <v>677</v>
      </c>
      <c r="K186" s="17" t="s">
        <v>1368</v>
      </c>
      <c r="L186" s="15" t="s">
        <v>385</v>
      </c>
      <c r="M186" s="17" t="s">
        <v>1369</v>
      </c>
      <c r="N186" s="17" t="s">
        <v>1370</v>
      </c>
      <c r="O186" s="17" t="s">
        <v>1371</v>
      </c>
      <c r="P186" s="17" t="s">
        <v>1372</v>
      </c>
      <c r="Q186" s="17" t="s">
        <v>1373</v>
      </c>
      <c r="R186" s="17" t="s">
        <v>102</v>
      </c>
      <c r="S186" s="15" t="s">
        <v>90</v>
      </c>
      <c r="T186" s="17" t="s">
        <v>1312</v>
      </c>
      <c r="U186" s="20" t="s">
        <v>104</v>
      </c>
    </row>
    <row r="187" spans="1:21" ht="60" customHeight="1">
      <c r="A187" s="15">
        <v>183</v>
      </c>
      <c r="B187" s="16" t="s">
        <v>74</v>
      </c>
      <c r="C187" s="17" t="s">
        <v>75</v>
      </c>
      <c r="D187" s="17" t="s">
        <v>1374</v>
      </c>
      <c r="E187" s="15" t="s">
        <v>845</v>
      </c>
      <c r="F187" s="15" t="str">
        <f>HYPERLINK("https://www.pref.kanagawa.jp/docs/jf2/seisansei/r7.html","神奈川県中小企業生産性向上促進事業費補助金 一般枠/グループ化支援枠（次回公募）")</f>
        <v>神奈川県中小企業生産性向上促進事業費補助金 一般枠/グループ化支援枠（次回公募）</v>
      </c>
      <c r="G187" s="17" t="s">
        <v>846</v>
      </c>
      <c r="H187" s="17" t="s">
        <v>846</v>
      </c>
      <c r="I187" s="17" t="s">
        <v>80</v>
      </c>
      <c r="J187" s="17" t="s">
        <v>1375</v>
      </c>
      <c r="K187" s="17" t="s">
        <v>1376</v>
      </c>
      <c r="L187" s="15" t="s">
        <v>385</v>
      </c>
      <c r="M187" s="17" t="s">
        <v>1377</v>
      </c>
      <c r="N187" s="17" t="s">
        <v>1378</v>
      </c>
      <c r="O187" s="17" t="s">
        <v>1379</v>
      </c>
      <c r="P187" s="17" t="s">
        <v>1380</v>
      </c>
      <c r="Q187" s="17" t="s">
        <v>1381</v>
      </c>
      <c r="R187" s="17" t="s">
        <v>102</v>
      </c>
      <c r="S187" s="15" t="s">
        <v>90</v>
      </c>
      <c r="T187" s="17" t="s">
        <v>1312</v>
      </c>
      <c r="U187" s="20" t="s">
        <v>104</v>
      </c>
    </row>
    <row r="188" spans="1:21" ht="60" customHeight="1"/>
    <row r="189" spans="1:21" ht="60" customHeight="1"/>
    <row r="190" spans="1:21" ht="60" customHeight="1"/>
    <row r="191" spans="1:21" ht="60" customHeight="1"/>
  </sheetData>
  <autoFilter ref="A4:S191" xr:uid="{00000000-0009-0000-0000-000001000000}"/>
  <mergeCells count="2">
    <mergeCell ref="A1:S1"/>
    <mergeCell ref="A2:S2"/>
  </mergeCells>
  <phoneticPr fontId="33"/>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zoomScaleNormal="100" workbookViewId="0">
      <pane ySplit="4" topLeftCell="A5" activePane="bottomLeft" state="frozen"/>
      <selection pane="bottomLeft" sqref="A1:G1"/>
    </sheetView>
  </sheetViews>
  <sheetFormatPr defaultColWidth="8.7109375" defaultRowHeight="15"/>
  <cols>
    <col min="1" max="1" width="5" customWidth="1"/>
    <col min="2" max="2" width="10" customWidth="1"/>
    <col min="3" max="3" width="25" customWidth="1"/>
    <col min="4" max="4" width="35" customWidth="1"/>
    <col min="5" max="5" width="16" customWidth="1"/>
    <col min="6" max="6" width="30" customWidth="1"/>
    <col min="7" max="7" width="55" customWidth="1"/>
  </cols>
  <sheetData>
    <row r="1" spans="1:7" ht="21" customHeight="1">
      <c r="A1" s="58" t="s">
        <v>1382</v>
      </c>
      <c r="B1" s="58"/>
      <c r="C1" s="58"/>
      <c r="D1" s="58"/>
      <c r="E1" s="58"/>
      <c r="F1" s="58"/>
      <c r="G1" s="58"/>
    </row>
    <row r="2" spans="1:7" ht="15" customHeight="1">
      <c r="A2" s="59" t="s">
        <v>1383</v>
      </c>
      <c r="B2" s="59"/>
      <c r="C2" s="59"/>
      <c r="D2" s="59"/>
      <c r="E2" s="59"/>
      <c r="F2" s="59"/>
      <c r="G2" s="59"/>
    </row>
    <row r="4" spans="1:7" ht="30" customHeight="1">
      <c r="A4" s="13" t="s">
        <v>54</v>
      </c>
      <c r="B4" s="14" t="s">
        <v>1384</v>
      </c>
      <c r="C4" s="14" t="s">
        <v>1385</v>
      </c>
      <c r="D4" s="14" t="s">
        <v>1386</v>
      </c>
      <c r="E4" s="13" t="s">
        <v>1387</v>
      </c>
      <c r="F4" s="13" t="s">
        <v>1388</v>
      </c>
      <c r="G4" s="14" t="s">
        <v>1389</v>
      </c>
    </row>
    <row r="5" spans="1:7" ht="54.75" customHeight="1">
      <c r="A5" s="15">
        <v>1</v>
      </c>
      <c r="B5" s="19" t="s">
        <v>1390</v>
      </c>
      <c r="C5" s="17" t="s">
        <v>1391</v>
      </c>
      <c r="D5" s="17" t="s">
        <v>1392</v>
      </c>
      <c r="E5" s="15" t="s">
        <v>1393</v>
      </c>
      <c r="F5" s="25" t="str">
        <f>HYPERLINK("https://www.ms-create.net/","https://www.ms-create.net/")</f>
        <v>https://www.ms-create.net/</v>
      </c>
      <c r="G5" s="16" t="s">
        <v>1394</v>
      </c>
    </row>
    <row r="6" spans="1:7" ht="54.75" customHeight="1">
      <c r="A6" s="15">
        <v>2</v>
      </c>
      <c r="B6" s="19" t="s">
        <v>1390</v>
      </c>
      <c r="C6" s="17" t="s">
        <v>1395</v>
      </c>
      <c r="D6" s="17" t="s">
        <v>1396</v>
      </c>
      <c r="E6" s="15" t="s">
        <v>1397</v>
      </c>
      <c r="F6" s="25" t="str">
        <f>HYPERLINK("https://www.m-m.bz/","https://www.m-m.bz/")</f>
        <v>https://www.m-m.bz/</v>
      </c>
      <c r="G6" s="17" t="s">
        <v>1398</v>
      </c>
    </row>
    <row r="7" spans="1:7" ht="54.75" customHeight="1">
      <c r="A7" s="15">
        <v>3</v>
      </c>
      <c r="B7" s="19" t="s">
        <v>1390</v>
      </c>
      <c r="C7" s="17" t="s">
        <v>1399</v>
      </c>
      <c r="D7" s="17" t="s">
        <v>1400</v>
      </c>
      <c r="E7" s="15" t="s">
        <v>1401</v>
      </c>
      <c r="F7" s="25" t="str">
        <f>HYPERLINK("http://www.sun-marine.co.jp/","http://www.sun-marine.co.jp/")</f>
        <v>http://www.sun-marine.co.jp/</v>
      </c>
      <c r="G7" s="17" t="s">
        <v>1402</v>
      </c>
    </row>
    <row r="8" spans="1:7" ht="54.75" customHeight="1">
      <c r="A8" s="15">
        <v>4</v>
      </c>
      <c r="B8" s="19" t="s">
        <v>1390</v>
      </c>
      <c r="C8" s="17" t="s">
        <v>1403</v>
      </c>
      <c r="D8" s="17" t="s">
        <v>1404</v>
      </c>
      <c r="E8" s="15" t="s">
        <v>1405</v>
      </c>
      <c r="F8" s="25" t="str">
        <f>HYPERLINK("https://www.proudia.biz/","https://www.proudia.biz/")</f>
        <v>https://www.proudia.biz/</v>
      </c>
      <c r="G8" s="17" t="s">
        <v>1398</v>
      </c>
    </row>
    <row r="9" spans="1:7" ht="54.75" customHeight="1">
      <c r="A9" s="15">
        <v>5</v>
      </c>
      <c r="B9" s="19" t="s">
        <v>1390</v>
      </c>
      <c r="C9" s="17" t="s">
        <v>1406</v>
      </c>
      <c r="D9" s="17" t="s">
        <v>1407</v>
      </c>
      <c r="E9" s="15" t="s">
        <v>1408</v>
      </c>
      <c r="F9" s="25" t="str">
        <f>HYPERLINK("https://lp.nkservice.jp/","https://lp.nkservice.jp/")</f>
        <v>https://lp.nkservice.jp/</v>
      </c>
      <c r="G9" s="17" t="s">
        <v>1409</v>
      </c>
    </row>
    <row r="10" spans="1:7" ht="54.75" customHeight="1">
      <c r="A10" s="15">
        <v>6</v>
      </c>
      <c r="B10" s="19" t="s">
        <v>1390</v>
      </c>
      <c r="C10" s="17" t="s">
        <v>1410</v>
      </c>
      <c r="D10" s="17" t="s">
        <v>1411</v>
      </c>
      <c r="E10" s="15" t="s">
        <v>1412</v>
      </c>
      <c r="F10" s="25" t="str">
        <f>HYPERLINK("https://aquras.co.jp/","https://aquras.co.jp/")</f>
        <v>https://aquras.co.jp/</v>
      </c>
      <c r="G10" s="17" t="s">
        <v>1413</v>
      </c>
    </row>
    <row r="11" spans="1:7" ht="54.75" customHeight="1">
      <c r="A11" s="15">
        <v>7</v>
      </c>
      <c r="B11" s="19" t="s">
        <v>1390</v>
      </c>
      <c r="C11" s="17" t="s">
        <v>1414</v>
      </c>
      <c r="D11" s="17" t="s">
        <v>1415</v>
      </c>
      <c r="E11" s="15" t="s">
        <v>1416</v>
      </c>
      <c r="F11" s="25" t="str">
        <f>HYPERLINK("https://t-style-coat.jp/","https://t-style-coat.jp/")</f>
        <v>https://t-style-coat.jp/</v>
      </c>
      <c r="G11" s="17" t="s">
        <v>1417</v>
      </c>
    </row>
    <row r="12" spans="1:7" ht="54.75" customHeight="1">
      <c r="A12" s="15">
        <v>8</v>
      </c>
      <c r="B12" s="19" t="s">
        <v>1390</v>
      </c>
      <c r="C12" s="17" t="s">
        <v>1418</v>
      </c>
      <c r="D12" s="17" t="s">
        <v>1419</v>
      </c>
      <c r="E12" s="15" t="s">
        <v>1420</v>
      </c>
      <c r="F12" s="17" t="s">
        <v>1421</v>
      </c>
      <c r="G12" s="17" t="s">
        <v>1422</v>
      </c>
    </row>
    <row r="13" spans="1:7" ht="54.75" customHeight="1">
      <c r="A13" s="15">
        <v>9</v>
      </c>
      <c r="B13" s="19" t="s">
        <v>1390</v>
      </c>
      <c r="C13" s="15" t="s">
        <v>1423</v>
      </c>
      <c r="D13" s="17" t="s">
        <v>1424</v>
      </c>
      <c r="E13" s="15" t="s">
        <v>1425</v>
      </c>
      <c r="F13" s="25" t="str">
        <f>HYPERLINK("https://www.innx.jp/","https://www.innx.jp/")</f>
        <v>https://www.innx.jp/</v>
      </c>
      <c r="G13" s="17" t="s">
        <v>1426</v>
      </c>
    </row>
    <row r="14" spans="1:7" ht="54.75" customHeight="1">
      <c r="A14" s="15">
        <v>10</v>
      </c>
      <c r="B14" s="19" t="s">
        <v>1390</v>
      </c>
      <c r="C14" s="17" t="s">
        <v>1427</v>
      </c>
      <c r="D14" s="17" t="s">
        <v>1428</v>
      </c>
      <c r="E14" s="15" t="s">
        <v>1429</v>
      </c>
      <c r="F14" s="25" t="str">
        <f>HYPERLINK("https://escoat-floor.com/","https://escoat-floor.com/")</f>
        <v>https://escoat-floor.com/</v>
      </c>
      <c r="G14" s="17" t="s">
        <v>1430</v>
      </c>
    </row>
    <row r="15" spans="1:7" ht="54.75" customHeight="1">
      <c r="A15" s="15">
        <v>11</v>
      </c>
      <c r="B15" s="19" t="s">
        <v>1390</v>
      </c>
      <c r="C15" s="17" t="s">
        <v>1431</v>
      </c>
      <c r="D15" s="17" t="s">
        <v>1432</v>
      </c>
      <c r="E15" s="15" t="s">
        <v>1433</v>
      </c>
      <c r="F15" s="25" t="str">
        <f>HYPERLINK("https://life-s-h.com/","https://life-s-h.com/")</f>
        <v>https://life-s-h.com/</v>
      </c>
      <c r="G15" s="16" t="s">
        <v>1434</v>
      </c>
    </row>
    <row r="16" spans="1:7" ht="54.75" customHeight="1">
      <c r="A16" s="15">
        <v>12</v>
      </c>
      <c r="B16" s="19" t="s">
        <v>1390</v>
      </c>
      <c r="C16" s="17" t="s">
        <v>1435</v>
      </c>
      <c r="D16" s="17" t="s">
        <v>1436</v>
      </c>
      <c r="E16" s="15" t="s">
        <v>1437</v>
      </c>
      <c r="F16" s="25" t="str">
        <f>HYPERLINK("https://www.churaumi-housing.jp","https://www.churaumi-housing.jp")</f>
        <v>https://www.churaumi-housing.jp</v>
      </c>
      <c r="G16" s="16" t="s">
        <v>1438</v>
      </c>
    </row>
    <row r="17" spans="1:7" ht="54.75" customHeight="1">
      <c r="A17" s="15">
        <v>13</v>
      </c>
      <c r="B17" s="19" t="s">
        <v>1390</v>
      </c>
      <c r="C17" s="17" t="s">
        <v>1439</v>
      </c>
      <c r="D17" s="17" t="s">
        <v>1440</v>
      </c>
      <c r="E17" s="15" t="s">
        <v>1441</v>
      </c>
      <c r="F17" s="25" t="str">
        <f>HYPERLINK("https://www.ls-cleaning.com/","https://www.ls-cleaning.com/")</f>
        <v>https://www.ls-cleaning.com/</v>
      </c>
      <c r="G17" s="17" t="s">
        <v>1442</v>
      </c>
    </row>
    <row r="18" spans="1:7" ht="54.75" customHeight="1">
      <c r="A18" s="15">
        <v>14</v>
      </c>
      <c r="B18" s="19" t="s">
        <v>1390</v>
      </c>
      <c r="C18" s="17" t="s">
        <v>1443</v>
      </c>
      <c r="D18" s="17" t="s">
        <v>1444</v>
      </c>
      <c r="E18" s="15" t="s">
        <v>1445</v>
      </c>
      <c r="F18" s="25" t="str">
        <f>HYPERLINK("https://www.more-interior-design.com/","https://www.more-interior-design.com/")</f>
        <v>https://www.more-interior-design.com/</v>
      </c>
      <c r="G18" s="17" t="s">
        <v>1446</v>
      </c>
    </row>
    <row r="19" spans="1:7" ht="54.75" customHeight="1">
      <c r="A19" s="15">
        <v>15</v>
      </c>
      <c r="B19" s="19" t="s">
        <v>1390</v>
      </c>
      <c r="C19" s="17" t="s">
        <v>1447</v>
      </c>
      <c r="D19" s="17" t="s">
        <v>1448</v>
      </c>
      <c r="E19" s="15" t="s">
        <v>1449</v>
      </c>
      <c r="F19" s="25" t="str">
        <f>HYPERLINK("https://www.fivestarss.co.jp/","https://www.fivestarss.co.jp/")</f>
        <v>https://www.fivestarss.co.jp/</v>
      </c>
      <c r="G19" s="16" t="s">
        <v>1450</v>
      </c>
    </row>
    <row r="20" spans="1:7" ht="54.75" customHeight="1">
      <c r="A20" s="15">
        <v>16</v>
      </c>
      <c r="B20" s="16" t="s">
        <v>1451</v>
      </c>
      <c r="C20" s="17" t="s">
        <v>1452</v>
      </c>
      <c r="D20" s="17" t="s">
        <v>1453</v>
      </c>
      <c r="E20" s="15" t="s">
        <v>1454</v>
      </c>
      <c r="F20" s="25" t="str">
        <f>HYPERLINK("https://komura.co","https://komura.co")</f>
        <v>https://komura.co</v>
      </c>
      <c r="G20" s="16" t="s">
        <v>1455</v>
      </c>
    </row>
    <row r="21" spans="1:7" ht="54.75" customHeight="1">
      <c r="A21" s="15">
        <v>17</v>
      </c>
      <c r="B21" s="16" t="s">
        <v>1451</v>
      </c>
      <c r="C21" s="17" t="s">
        <v>1456</v>
      </c>
      <c r="D21" s="17" t="s">
        <v>1457</v>
      </c>
      <c r="E21" s="15" t="s">
        <v>1458</v>
      </c>
      <c r="F21" s="25" t="str">
        <f>HYPERLINK("https://teruno-resort.com/","https://teruno-resort.com/")</f>
        <v>https://teruno-resort.com/</v>
      </c>
      <c r="G21" s="16" t="s">
        <v>1459</v>
      </c>
    </row>
    <row r="22" spans="1:7" ht="54.75" customHeight="1">
      <c r="A22" s="15">
        <v>18</v>
      </c>
      <c r="B22" s="20" t="s">
        <v>1460</v>
      </c>
      <c r="C22" s="17" t="s">
        <v>1461</v>
      </c>
      <c r="D22" s="17" t="s">
        <v>1462</v>
      </c>
      <c r="E22" s="15" t="s">
        <v>1463</v>
      </c>
      <c r="F22" s="25" t="str">
        <f>HYPERLINK("https://www.upson.co.jp","https://www.upson.co.jp")</f>
        <v>https://www.upson.co.jp</v>
      </c>
      <c r="G22" s="17" t="s">
        <v>1464</v>
      </c>
    </row>
    <row r="23" spans="1:7" ht="54.75" customHeight="1">
      <c r="A23" s="15">
        <v>19</v>
      </c>
      <c r="B23" s="20" t="s">
        <v>1460</v>
      </c>
      <c r="C23" s="17" t="s">
        <v>1465</v>
      </c>
      <c r="D23" s="17" t="s">
        <v>1466</v>
      </c>
      <c r="E23" s="15" t="s">
        <v>1467</v>
      </c>
      <c r="F23" s="17" t="s">
        <v>1421</v>
      </c>
      <c r="G23" s="17" t="s">
        <v>1468</v>
      </c>
    </row>
    <row r="24" spans="1:7" ht="54.75" customHeight="1">
      <c r="A24" s="15">
        <v>20</v>
      </c>
      <c r="B24" s="20" t="s">
        <v>1460</v>
      </c>
      <c r="C24" s="17" t="s">
        <v>1469</v>
      </c>
      <c r="D24" s="17" t="s">
        <v>1470</v>
      </c>
      <c r="E24" s="15" t="s">
        <v>1471</v>
      </c>
      <c r="F24" s="25" t="str">
        <f>HYPERLINK("http://www.konan-shokai.co.jp","http://www.konan-shokai.co.jp")</f>
        <v>http://www.konan-shokai.co.jp</v>
      </c>
      <c r="G24" s="17" t="s">
        <v>1472</v>
      </c>
    </row>
    <row r="25" spans="1:7" ht="54.75" customHeight="1">
      <c r="A25" s="15">
        <v>21</v>
      </c>
      <c r="B25" s="23" t="s">
        <v>1473</v>
      </c>
      <c r="C25" s="17" t="s">
        <v>1474</v>
      </c>
      <c r="D25" s="17" t="s">
        <v>1475</v>
      </c>
      <c r="E25" s="15" t="s">
        <v>1476</v>
      </c>
      <c r="F25" s="25" t="str">
        <f>HYPERLINK("http://www.kido-soudan.com","http://www.kido-soudan.com")</f>
        <v>http://www.kido-soudan.com</v>
      </c>
      <c r="G25" s="17" t="s">
        <v>1477</v>
      </c>
    </row>
    <row r="27" spans="1:7" ht="15" customHeight="1">
      <c r="A27" s="8" t="s">
        <v>1478</v>
      </c>
    </row>
    <row r="28" spans="1:7" ht="15" customHeight="1">
      <c r="A28" s="26" t="s">
        <v>1386</v>
      </c>
      <c r="B28" s="26" t="s">
        <v>12</v>
      </c>
      <c r="C28" s="60" t="s">
        <v>1479</v>
      </c>
      <c r="D28" s="60"/>
      <c r="E28" s="60"/>
      <c r="F28" s="60"/>
      <c r="G28" s="60"/>
    </row>
    <row r="29" spans="1:7" ht="30" customHeight="1">
      <c r="A29" s="27" t="s">
        <v>676</v>
      </c>
      <c r="B29" s="28">
        <v>11</v>
      </c>
      <c r="C29" s="61" t="s">
        <v>1480</v>
      </c>
      <c r="D29" s="61"/>
      <c r="E29" s="61"/>
      <c r="F29" s="61"/>
      <c r="G29" s="61"/>
    </row>
    <row r="30" spans="1:7" ht="30" customHeight="1">
      <c r="A30" s="27" t="s">
        <v>838</v>
      </c>
      <c r="B30" s="28">
        <v>2</v>
      </c>
      <c r="C30" s="61" t="s">
        <v>1481</v>
      </c>
      <c r="D30" s="61"/>
      <c r="E30" s="61"/>
      <c r="F30" s="61"/>
      <c r="G30" s="61"/>
    </row>
    <row r="31" spans="1:7" ht="30" customHeight="1">
      <c r="A31" s="27" t="s">
        <v>853</v>
      </c>
      <c r="B31" s="28">
        <v>2</v>
      </c>
      <c r="C31" s="61" t="s">
        <v>1482</v>
      </c>
      <c r="D31" s="61"/>
      <c r="E31" s="61"/>
      <c r="F31" s="61"/>
      <c r="G31" s="61"/>
    </row>
    <row r="32" spans="1:7" ht="30" customHeight="1">
      <c r="A32" s="27" t="s">
        <v>605</v>
      </c>
      <c r="B32" s="28">
        <v>2</v>
      </c>
      <c r="C32" s="61" t="s">
        <v>1483</v>
      </c>
      <c r="D32" s="61"/>
      <c r="E32" s="61"/>
      <c r="F32" s="61"/>
      <c r="G32" s="61"/>
    </row>
    <row r="33" spans="1:7" ht="30" customHeight="1">
      <c r="A33" s="27" t="s">
        <v>870</v>
      </c>
      <c r="B33" s="28">
        <v>1</v>
      </c>
      <c r="C33" s="61" t="s">
        <v>1484</v>
      </c>
      <c r="D33" s="61"/>
      <c r="E33" s="61"/>
      <c r="F33" s="61"/>
      <c r="G33" s="61"/>
    </row>
    <row r="34" spans="1:7" ht="30" customHeight="1">
      <c r="A34" s="27" t="s">
        <v>909</v>
      </c>
      <c r="B34" s="28">
        <v>1</v>
      </c>
      <c r="C34" s="61" t="s">
        <v>1485</v>
      </c>
      <c r="D34" s="61"/>
      <c r="E34" s="61"/>
      <c r="F34" s="61"/>
      <c r="G34" s="61"/>
    </row>
    <row r="35" spans="1:7" ht="30" customHeight="1">
      <c r="A35" s="27" t="s">
        <v>893</v>
      </c>
      <c r="B35" s="28">
        <v>1</v>
      </c>
      <c r="C35" s="61" t="s">
        <v>1486</v>
      </c>
      <c r="D35" s="61"/>
      <c r="E35" s="61"/>
      <c r="F35" s="61"/>
      <c r="G35" s="61"/>
    </row>
    <row r="36" spans="1:7" ht="30" customHeight="1">
      <c r="A36" s="27" t="s">
        <v>941</v>
      </c>
      <c r="B36" s="28">
        <v>1</v>
      </c>
      <c r="C36" s="61" t="s">
        <v>1487</v>
      </c>
      <c r="D36" s="61"/>
      <c r="E36" s="61"/>
      <c r="F36" s="61"/>
      <c r="G36" s="61"/>
    </row>
    <row r="38" spans="1:7" ht="15" customHeight="1">
      <c r="A38" s="29" t="s">
        <v>1488</v>
      </c>
    </row>
    <row r="39" spans="1:7" ht="21.75" customHeight="1">
      <c r="A39" s="62" t="s">
        <v>1489</v>
      </c>
      <c r="B39" s="62"/>
      <c r="C39" s="62"/>
      <c r="D39" s="62"/>
      <c r="E39" s="62"/>
      <c r="F39" s="62"/>
      <c r="G39" s="62"/>
    </row>
    <row r="40" spans="1:7" ht="21.75" customHeight="1">
      <c r="A40" s="62" t="s">
        <v>1490</v>
      </c>
      <c r="B40" s="62"/>
      <c r="C40" s="62"/>
      <c r="D40" s="62"/>
      <c r="E40" s="62"/>
      <c r="F40" s="62"/>
      <c r="G40" s="62"/>
    </row>
    <row r="41" spans="1:7" ht="21.75" customHeight="1">
      <c r="A41" s="62" t="s">
        <v>1491</v>
      </c>
      <c r="B41" s="62"/>
      <c r="C41" s="62"/>
      <c r="D41" s="62"/>
      <c r="E41" s="62"/>
      <c r="F41" s="62"/>
      <c r="G41" s="62"/>
    </row>
    <row r="42" spans="1:7" ht="21.75" customHeight="1">
      <c r="A42" s="62" t="s">
        <v>1492</v>
      </c>
      <c r="B42" s="62"/>
      <c r="C42" s="62"/>
      <c r="D42" s="62"/>
      <c r="E42" s="62"/>
      <c r="F42" s="62"/>
      <c r="G42" s="62"/>
    </row>
    <row r="43" spans="1:7" ht="21.75" customHeight="1">
      <c r="A43" s="63" t="s">
        <v>1493</v>
      </c>
      <c r="B43" s="63"/>
      <c r="C43" s="63"/>
      <c r="D43" s="63"/>
      <c r="E43" s="63"/>
      <c r="F43" s="63"/>
      <c r="G43" s="63"/>
    </row>
  </sheetData>
  <mergeCells count="16">
    <mergeCell ref="A43:G43"/>
    <mergeCell ref="C36:G36"/>
    <mergeCell ref="A39:G39"/>
    <mergeCell ref="A40:G40"/>
    <mergeCell ref="A41:G41"/>
    <mergeCell ref="A42:G42"/>
    <mergeCell ref="C31:G31"/>
    <mergeCell ref="C32:G32"/>
    <mergeCell ref="C33:G33"/>
    <mergeCell ref="C34:G34"/>
    <mergeCell ref="C35:G35"/>
    <mergeCell ref="A1:G1"/>
    <mergeCell ref="A2:G2"/>
    <mergeCell ref="C28:G28"/>
    <mergeCell ref="C29:G29"/>
    <mergeCell ref="C30:G30"/>
  </mergeCells>
  <phoneticPr fontId="33"/>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7"/>
  <sheetViews>
    <sheetView zoomScaleNormal="100" workbookViewId="0">
      <pane ySplit="3" topLeftCell="A4" activePane="bottomLeft" state="frozen"/>
      <selection pane="bottomLeft" sqref="A1:E1"/>
    </sheetView>
  </sheetViews>
  <sheetFormatPr defaultColWidth="8.7109375" defaultRowHeight="15"/>
  <cols>
    <col min="1" max="1" width="9" customWidth="1"/>
    <col min="2" max="2" width="6" customWidth="1"/>
    <col min="3" max="3" width="38" customWidth="1"/>
    <col min="4" max="4" width="50" customWidth="1"/>
    <col min="5" max="5" width="25" customWidth="1"/>
  </cols>
  <sheetData>
    <row r="1" spans="1:5" ht="21" customHeight="1">
      <c r="A1" s="64" t="s">
        <v>1494</v>
      </c>
      <c r="B1" s="64"/>
      <c r="C1" s="64"/>
      <c r="D1" s="64"/>
      <c r="E1" s="64"/>
    </row>
    <row r="3" spans="1:5" ht="15" customHeight="1">
      <c r="A3" s="30" t="s">
        <v>1495</v>
      </c>
      <c r="B3" s="30" t="s">
        <v>1496</v>
      </c>
      <c r="C3" s="30" t="s">
        <v>57</v>
      </c>
      <c r="D3" s="30" t="s">
        <v>1497</v>
      </c>
      <c r="E3" s="30" t="s">
        <v>1498</v>
      </c>
    </row>
    <row r="4" spans="1:5" ht="15" customHeight="1">
      <c r="A4" s="65" t="s">
        <v>1499</v>
      </c>
      <c r="B4" s="65"/>
      <c r="C4" s="65"/>
      <c r="D4" s="65"/>
      <c r="E4" s="65"/>
    </row>
    <row r="5" spans="1:5" ht="29.25" customHeight="1">
      <c r="A5" s="15" t="s">
        <v>37</v>
      </c>
      <c r="B5" s="31">
        <v>1</v>
      </c>
      <c r="C5" s="17" t="s">
        <v>1500</v>
      </c>
      <c r="D5" s="17" t="s">
        <v>1501</v>
      </c>
      <c r="E5" s="15" t="s">
        <v>1502</v>
      </c>
    </row>
    <row r="6" spans="1:5" ht="29.25" customHeight="1">
      <c r="A6" s="15" t="s">
        <v>37</v>
      </c>
      <c r="B6" s="31">
        <v>2</v>
      </c>
      <c r="C6" s="17" t="s">
        <v>1503</v>
      </c>
      <c r="D6" s="15" t="s">
        <v>1504</v>
      </c>
      <c r="E6" s="15" t="s">
        <v>1505</v>
      </c>
    </row>
    <row r="7" spans="1:5" ht="29.25" customHeight="1">
      <c r="A7" s="15" t="s">
        <v>37</v>
      </c>
      <c r="B7" s="31">
        <v>3</v>
      </c>
      <c r="C7" s="17" t="s">
        <v>444</v>
      </c>
      <c r="D7" s="17" t="s">
        <v>1506</v>
      </c>
      <c r="E7" s="17" t="s">
        <v>935</v>
      </c>
    </row>
    <row r="8" spans="1:5" ht="29.25" customHeight="1">
      <c r="A8" s="15" t="s">
        <v>37</v>
      </c>
      <c r="B8" s="31">
        <v>4</v>
      </c>
      <c r="C8" s="17" t="s">
        <v>641</v>
      </c>
      <c r="D8" s="17" t="s">
        <v>1507</v>
      </c>
      <c r="E8" s="17" t="s">
        <v>1508</v>
      </c>
    </row>
    <row r="9" spans="1:5" ht="15" customHeight="1">
      <c r="A9" s="15" t="s">
        <v>37</v>
      </c>
      <c r="B9" s="31">
        <v>5</v>
      </c>
      <c r="C9" s="17" t="s">
        <v>350</v>
      </c>
      <c r="D9" s="17" t="s">
        <v>1509</v>
      </c>
      <c r="E9" s="17" t="s">
        <v>1510</v>
      </c>
    </row>
    <row r="10" spans="1:5" ht="15" customHeight="1">
      <c r="A10" s="15" t="s">
        <v>37</v>
      </c>
      <c r="B10" s="31">
        <v>6</v>
      </c>
      <c r="C10" s="17" t="s">
        <v>1330</v>
      </c>
      <c r="D10" s="17" t="s">
        <v>1511</v>
      </c>
      <c r="E10" s="15" t="s">
        <v>1512</v>
      </c>
    </row>
    <row r="11" spans="1:5" ht="15" customHeight="1">
      <c r="A11" s="15" t="s">
        <v>37</v>
      </c>
      <c r="B11" s="31">
        <v>7</v>
      </c>
      <c r="C11" s="17" t="s">
        <v>1513</v>
      </c>
      <c r="D11" s="17" t="s">
        <v>1514</v>
      </c>
      <c r="E11" s="17" t="s">
        <v>947</v>
      </c>
    </row>
    <row r="12" spans="1:5" ht="29.25" customHeight="1">
      <c r="A12" s="15" t="s">
        <v>37</v>
      </c>
      <c r="B12" s="31">
        <v>8</v>
      </c>
      <c r="C12" s="17" t="s">
        <v>1515</v>
      </c>
      <c r="D12" s="17" t="s">
        <v>1516</v>
      </c>
      <c r="E12" s="17" t="s">
        <v>1517</v>
      </c>
    </row>
    <row r="13" spans="1:5" ht="15" customHeight="1">
      <c r="A13" s="15" t="s">
        <v>37</v>
      </c>
      <c r="B13" s="31">
        <v>9</v>
      </c>
      <c r="C13" s="17" t="s">
        <v>1518</v>
      </c>
      <c r="D13" s="17" t="s">
        <v>1519</v>
      </c>
      <c r="E13" s="17" t="s">
        <v>1520</v>
      </c>
    </row>
    <row r="14" spans="1:5" ht="15" customHeight="1">
      <c r="A14" s="15" t="s">
        <v>37</v>
      </c>
      <c r="B14" s="31">
        <v>10</v>
      </c>
      <c r="C14" s="15" t="s">
        <v>1521</v>
      </c>
      <c r="D14" s="17" t="s">
        <v>1522</v>
      </c>
      <c r="E14" s="17" t="s">
        <v>1523</v>
      </c>
    </row>
    <row r="15" spans="1:5" ht="15" customHeight="1">
      <c r="A15" s="66" t="s">
        <v>1524</v>
      </c>
      <c r="B15" s="66"/>
      <c r="C15" s="66"/>
      <c r="D15" s="66"/>
      <c r="E15" s="66"/>
    </row>
    <row r="17" spans="1:5" ht="15" customHeight="1">
      <c r="A17" s="65" t="s">
        <v>1525</v>
      </c>
      <c r="B17" s="65"/>
      <c r="C17" s="65"/>
      <c r="D17" s="65"/>
      <c r="E17" s="65"/>
    </row>
    <row r="18" spans="1:5" ht="15" customHeight="1">
      <c r="A18" s="15" t="s">
        <v>40</v>
      </c>
      <c r="B18" s="31">
        <v>1</v>
      </c>
      <c r="C18" s="17" t="s">
        <v>1526</v>
      </c>
      <c r="D18" s="17" t="s">
        <v>1527</v>
      </c>
      <c r="E18" s="17" t="s">
        <v>1528</v>
      </c>
    </row>
    <row r="19" spans="1:5" ht="29.25" customHeight="1">
      <c r="A19" s="15" t="s">
        <v>40</v>
      </c>
      <c r="B19" s="31">
        <v>2</v>
      </c>
      <c r="C19" s="17" t="s">
        <v>1529</v>
      </c>
      <c r="D19" s="17" t="s">
        <v>1530</v>
      </c>
      <c r="E19" s="17" t="s">
        <v>1531</v>
      </c>
    </row>
    <row r="20" spans="1:5" ht="15" customHeight="1">
      <c r="A20" s="15" t="s">
        <v>40</v>
      </c>
      <c r="B20" s="31">
        <v>3</v>
      </c>
      <c r="C20" s="17" t="s">
        <v>1532</v>
      </c>
      <c r="D20" s="17" t="s">
        <v>1533</v>
      </c>
      <c r="E20" s="17" t="s">
        <v>1534</v>
      </c>
    </row>
    <row r="21" spans="1:5" ht="29.25" customHeight="1">
      <c r="A21" s="15" t="s">
        <v>40</v>
      </c>
      <c r="B21" s="31">
        <v>4</v>
      </c>
      <c r="C21" s="17" t="s">
        <v>1535</v>
      </c>
      <c r="D21" s="17" t="s">
        <v>1536</v>
      </c>
      <c r="E21" s="15" t="s">
        <v>1537</v>
      </c>
    </row>
    <row r="22" spans="1:5" ht="15" customHeight="1">
      <c r="A22" s="15" t="s">
        <v>40</v>
      </c>
      <c r="B22" s="31">
        <v>5</v>
      </c>
      <c r="C22" s="17" t="s">
        <v>1538</v>
      </c>
      <c r="D22" s="17" t="s">
        <v>1539</v>
      </c>
      <c r="E22" s="17" t="s">
        <v>1520</v>
      </c>
    </row>
    <row r="23" spans="1:5" ht="29.25" customHeight="1">
      <c r="A23" s="15" t="s">
        <v>40</v>
      </c>
      <c r="B23" s="31">
        <v>6</v>
      </c>
      <c r="C23" s="17" t="s">
        <v>1540</v>
      </c>
      <c r="D23" s="17" t="s">
        <v>1541</v>
      </c>
      <c r="E23" s="17" t="s">
        <v>1542</v>
      </c>
    </row>
    <row r="24" spans="1:5" ht="15" customHeight="1">
      <c r="A24" s="15" t="s">
        <v>40</v>
      </c>
      <c r="B24" s="31">
        <v>7</v>
      </c>
      <c r="C24" s="17" t="s">
        <v>1543</v>
      </c>
      <c r="D24" s="17" t="s">
        <v>1544</v>
      </c>
      <c r="E24" s="15" t="s">
        <v>1545</v>
      </c>
    </row>
    <row r="25" spans="1:5" ht="15" customHeight="1">
      <c r="A25" s="15" t="s">
        <v>40</v>
      </c>
      <c r="B25" s="31">
        <v>8</v>
      </c>
      <c r="C25" s="17" t="s">
        <v>397</v>
      </c>
      <c r="D25" s="17" t="s">
        <v>1546</v>
      </c>
      <c r="E25" s="17" t="s">
        <v>1547</v>
      </c>
    </row>
    <row r="26" spans="1:5" ht="15" customHeight="1">
      <c r="A26" s="15" t="s">
        <v>40</v>
      </c>
      <c r="B26" s="31">
        <v>9</v>
      </c>
      <c r="C26" s="17" t="s">
        <v>1548</v>
      </c>
      <c r="D26" s="17" t="s">
        <v>1549</v>
      </c>
      <c r="E26" s="17" t="s">
        <v>1508</v>
      </c>
    </row>
    <row r="27" spans="1:5" ht="15" customHeight="1">
      <c r="A27" s="15" t="s">
        <v>40</v>
      </c>
      <c r="B27" s="31">
        <v>10</v>
      </c>
      <c r="C27" s="17" t="s">
        <v>1550</v>
      </c>
      <c r="D27" s="17" t="s">
        <v>1551</v>
      </c>
      <c r="E27" s="17" t="s">
        <v>1552</v>
      </c>
    </row>
    <row r="28" spans="1:5" ht="15" customHeight="1">
      <c r="A28" s="66" t="s">
        <v>1553</v>
      </c>
      <c r="B28" s="66"/>
      <c r="C28" s="66"/>
      <c r="D28" s="66"/>
      <c r="E28" s="66"/>
    </row>
    <row r="30" spans="1:5" ht="15" customHeight="1">
      <c r="A30" s="65" t="s">
        <v>1554</v>
      </c>
      <c r="B30" s="65"/>
      <c r="C30" s="65"/>
      <c r="D30" s="65"/>
      <c r="E30" s="65"/>
    </row>
    <row r="31" spans="1:5" ht="29.25" customHeight="1">
      <c r="A31" s="15" t="s">
        <v>43</v>
      </c>
      <c r="B31" s="31">
        <v>1</v>
      </c>
      <c r="C31" s="17" t="s">
        <v>1555</v>
      </c>
      <c r="D31" s="17" t="s">
        <v>1556</v>
      </c>
      <c r="E31" s="17" t="s">
        <v>1528</v>
      </c>
    </row>
    <row r="32" spans="1:5" ht="15" customHeight="1">
      <c r="A32" s="15" t="s">
        <v>43</v>
      </c>
      <c r="B32" s="31">
        <v>2</v>
      </c>
      <c r="C32" s="17" t="s">
        <v>1557</v>
      </c>
      <c r="D32" s="17" t="s">
        <v>1558</v>
      </c>
      <c r="E32" s="17" t="s">
        <v>1559</v>
      </c>
    </row>
    <row r="33" spans="1:5" ht="15" customHeight="1">
      <c r="A33" s="15" t="s">
        <v>43</v>
      </c>
      <c r="B33" s="31">
        <v>3</v>
      </c>
      <c r="C33" s="17" t="s">
        <v>1560</v>
      </c>
      <c r="D33" s="17" t="s">
        <v>1561</v>
      </c>
      <c r="E33" s="17" t="s">
        <v>1562</v>
      </c>
    </row>
    <row r="34" spans="1:5" ht="29.25" customHeight="1">
      <c r="A34" s="15" t="s">
        <v>43</v>
      </c>
      <c r="B34" s="31">
        <v>4</v>
      </c>
      <c r="C34" s="17" t="s">
        <v>475</v>
      </c>
      <c r="D34" s="17" t="s">
        <v>1563</v>
      </c>
      <c r="E34" s="17" t="s">
        <v>1564</v>
      </c>
    </row>
    <row r="35" spans="1:5" ht="15" customHeight="1">
      <c r="A35" s="15" t="s">
        <v>43</v>
      </c>
      <c r="B35" s="31">
        <v>5</v>
      </c>
      <c r="C35" s="17" t="s">
        <v>624</v>
      </c>
      <c r="D35" s="17" t="s">
        <v>1565</v>
      </c>
      <c r="E35" s="15" t="s">
        <v>1566</v>
      </c>
    </row>
    <row r="36" spans="1:5" ht="29.25" customHeight="1">
      <c r="A36" s="15" t="s">
        <v>43</v>
      </c>
      <c r="B36" s="31">
        <v>6</v>
      </c>
      <c r="C36" s="17" t="s">
        <v>1567</v>
      </c>
      <c r="D36" s="17" t="s">
        <v>1568</v>
      </c>
      <c r="E36" s="17" t="s">
        <v>1569</v>
      </c>
    </row>
    <row r="37" spans="1:5" ht="29.25" customHeight="1">
      <c r="A37" s="15" t="s">
        <v>43</v>
      </c>
      <c r="B37" s="31">
        <v>7</v>
      </c>
      <c r="C37" s="17" t="s">
        <v>1570</v>
      </c>
      <c r="D37" s="17" t="s">
        <v>1571</v>
      </c>
      <c r="E37" s="17" t="s">
        <v>1572</v>
      </c>
    </row>
    <row r="38" spans="1:5" ht="15" customHeight="1">
      <c r="A38" s="15" t="s">
        <v>43</v>
      </c>
      <c r="B38" s="31">
        <v>8</v>
      </c>
      <c r="C38" s="17" t="s">
        <v>1573</v>
      </c>
      <c r="D38" s="15" t="s">
        <v>1574</v>
      </c>
      <c r="E38" s="17" t="s">
        <v>1547</v>
      </c>
    </row>
    <row r="39" spans="1:5" ht="15" customHeight="1">
      <c r="A39" s="15" t="s">
        <v>43</v>
      </c>
      <c r="B39" s="31">
        <v>9</v>
      </c>
      <c r="C39" s="17" t="s">
        <v>650</v>
      </c>
      <c r="D39" s="17" t="s">
        <v>654</v>
      </c>
      <c r="E39" s="17" t="s">
        <v>1523</v>
      </c>
    </row>
    <row r="40" spans="1:5" ht="15" customHeight="1">
      <c r="A40" s="15" t="s">
        <v>43</v>
      </c>
      <c r="B40" s="31">
        <v>10</v>
      </c>
      <c r="C40" s="17" t="s">
        <v>658</v>
      </c>
      <c r="D40" s="17" t="s">
        <v>1575</v>
      </c>
      <c r="E40" s="17" t="s">
        <v>1523</v>
      </c>
    </row>
    <row r="41" spans="1:5" ht="15" customHeight="1">
      <c r="A41" s="66" t="s">
        <v>1576</v>
      </c>
      <c r="B41" s="66"/>
      <c r="C41" s="66"/>
      <c r="D41" s="66"/>
      <c r="E41" s="66"/>
    </row>
    <row r="43" spans="1:5" ht="15" customHeight="1">
      <c r="A43" s="65" t="s">
        <v>1577</v>
      </c>
      <c r="B43" s="65"/>
      <c r="C43" s="65"/>
      <c r="D43" s="65"/>
      <c r="E43" s="65"/>
    </row>
    <row r="44" spans="1:5" ht="15" customHeight="1">
      <c r="A44" s="15" t="s">
        <v>46</v>
      </c>
      <c r="B44" s="31">
        <v>1</v>
      </c>
      <c r="C44" s="17" t="s">
        <v>1578</v>
      </c>
      <c r="D44" s="15" t="s">
        <v>1579</v>
      </c>
      <c r="E44" s="17" t="s">
        <v>1580</v>
      </c>
    </row>
    <row r="45" spans="1:5" ht="29.25" customHeight="1">
      <c r="A45" s="15" t="s">
        <v>46</v>
      </c>
      <c r="B45" s="31">
        <v>2</v>
      </c>
      <c r="C45" s="17" t="s">
        <v>1581</v>
      </c>
      <c r="D45" s="15" t="s">
        <v>1582</v>
      </c>
      <c r="E45" s="17" t="s">
        <v>984</v>
      </c>
    </row>
    <row r="46" spans="1:5" ht="29.25" customHeight="1">
      <c r="A46" s="15" t="s">
        <v>46</v>
      </c>
      <c r="B46" s="31">
        <v>3</v>
      </c>
      <c r="C46" s="17" t="s">
        <v>1583</v>
      </c>
      <c r="D46" s="17" t="s">
        <v>1584</v>
      </c>
      <c r="E46" s="17" t="s">
        <v>1585</v>
      </c>
    </row>
    <row r="47" spans="1:5" ht="15" customHeight="1">
      <c r="A47" s="15" t="s">
        <v>46</v>
      </c>
      <c r="B47" s="31">
        <v>4</v>
      </c>
      <c r="C47" s="17" t="s">
        <v>1586</v>
      </c>
      <c r="D47" s="17" t="s">
        <v>1587</v>
      </c>
      <c r="E47" s="17" t="s">
        <v>1588</v>
      </c>
    </row>
    <row r="48" spans="1:5" ht="15" customHeight="1">
      <c r="A48" s="15" t="s">
        <v>46</v>
      </c>
      <c r="B48" s="31">
        <v>5</v>
      </c>
      <c r="C48" s="17" t="s">
        <v>593</v>
      </c>
      <c r="D48" s="17" t="s">
        <v>1589</v>
      </c>
      <c r="E48" s="17" t="s">
        <v>1590</v>
      </c>
    </row>
    <row r="49" spans="1:5" ht="29.25" customHeight="1">
      <c r="A49" s="15" t="s">
        <v>46</v>
      </c>
      <c r="B49" s="31">
        <v>6</v>
      </c>
      <c r="C49" s="15" t="s">
        <v>1591</v>
      </c>
      <c r="D49" s="17" t="s">
        <v>1592</v>
      </c>
      <c r="E49" s="17" t="s">
        <v>1593</v>
      </c>
    </row>
    <row r="50" spans="1:5" ht="29.25" customHeight="1">
      <c r="A50" s="15" t="s">
        <v>46</v>
      </c>
      <c r="B50" s="31">
        <v>7</v>
      </c>
      <c r="C50" s="17" t="s">
        <v>1594</v>
      </c>
      <c r="D50" s="17" t="s">
        <v>1595</v>
      </c>
      <c r="E50" s="17" t="s">
        <v>1596</v>
      </c>
    </row>
    <row r="51" spans="1:5" ht="15" customHeight="1">
      <c r="A51" s="15" t="s">
        <v>46</v>
      </c>
      <c r="B51" s="31">
        <v>8</v>
      </c>
      <c r="C51" s="15" t="s">
        <v>664</v>
      </c>
      <c r="D51" s="17" t="s">
        <v>1597</v>
      </c>
      <c r="E51" s="17" t="s">
        <v>1523</v>
      </c>
    </row>
    <row r="52" spans="1:5" ht="29.25" customHeight="1">
      <c r="A52" s="15" t="s">
        <v>46</v>
      </c>
      <c r="B52" s="31">
        <v>9</v>
      </c>
      <c r="C52" s="17" t="s">
        <v>1598</v>
      </c>
      <c r="D52" s="15" t="s">
        <v>1599</v>
      </c>
      <c r="E52" s="15" t="s">
        <v>1599</v>
      </c>
    </row>
    <row r="53" spans="1:5" ht="15" customHeight="1">
      <c r="A53" s="15" t="s">
        <v>46</v>
      </c>
      <c r="B53" s="31">
        <v>10</v>
      </c>
      <c r="C53" s="17" t="s">
        <v>1600</v>
      </c>
      <c r="D53" s="15" t="s">
        <v>1601</v>
      </c>
      <c r="E53" s="17" t="s">
        <v>1602</v>
      </c>
    </row>
    <row r="54" spans="1:5" ht="15" customHeight="1">
      <c r="A54" s="66" t="s">
        <v>1603</v>
      </c>
      <c r="B54" s="66"/>
      <c r="C54" s="66"/>
      <c r="D54" s="66"/>
      <c r="E54" s="66"/>
    </row>
    <row r="56" spans="1:5" ht="15" customHeight="1">
      <c r="A56" s="65" t="s">
        <v>1604</v>
      </c>
      <c r="B56" s="65"/>
      <c r="C56" s="65"/>
      <c r="D56" s="65"/>
      <c r="E56" s="65"/>
    </row>
    <row r="57" spans="1:5" ht="15" customHeight="1">
      <c r="A57" s="15" t="s">
        <v>49</v>
      </c>
      <c r="B57" s="31">
        <v>1</v>
      </c>
      <c r="C57" s="17" t="s">
        <v>1605</v>
      </c>
      <c r="D57" s="17" t="s">
        <v>1606</v>
      </c>
      <c r="E57" s="17" t="s">
        <v>1607</v>
      </c>
    </row>
    <row r="58" spans="1:5" ht="15" customHeight="1">
      <c r="A58" s="15" t="s">
        <v>49</v>
      </c>
      <c r="B58" s="31">
        <v>2</v>
      </c>
      <c r="C58" s="17" t="s">
        <v>1608</v>
      </c>
      <c r="D58" s="17" t="s">
        <v>924</v>
      </c>
      <c r="E58" s="15" t="s">
        <v>1512</v>
      </c>
    </row>
    <row r="59" spans="1:5" ht="29.25" customHeight="1">
      <c r="A59" s="15" t="s">
        <v>49</v>
      </c>
      <c r="B59" s="31">
        <v>3</v>
      </c>
      <c r="C59" s="17" t="s">
        <v>1609</v>
      </c>
      <c r="D59" s="17" t="s">
        <v>1610</v>
      </c>
      <c r="E59" s="17" t="s">
        <v>701</v>
      </c>
    </row>
    <row r="60" spans="1:5" ht="15" customHeight="1">
      <c r="A60" s="15" t="s">
        <v>49</v>
      </c>
      <c r="B60" s="31">
        <v>4</v>
      </c>
      <c r="C60" s="17" t="s">
        <v>917</v>
      </c>
      <c r="D60" s="17" t="s">
        <v>1611</v>
      </c>
      <c r="E60" s="15" t="s">
        <v>1512</v>
      </c>
    </row>
    <row r="61" spans="1:5" ht="15" customHeight="1">
      <c r="A61" s="15" t="s">
        <v>49</v>
      </c>
      <c r="B61" s="31">
        <v>5</v>
      </c>
      <c r="C61" s="17" t="s">
        <v>1612</v>
      </c>
      <c r="D61" s="17" t="s">
        <v>1613</v>
      </c>
      <c r="E61" s="17" t="s">
        <v>1614</v>
      </c>
    </row>
    <row r="62" spans="1:5" ht="15" customHeight="1">
      <c r="A62" s="15" t="s">
        <v>49</v>
      </c>
      <c r="B62" s="31">
        <v>6</v>
      </c>
      <c r="C62" s="17" t="s">
        <v>1330</v>
      </c>
      <c r="D62" s="17" t="s">
        <v>1615</v>
      </c>
      <c r="E62" s="15" t="s">
        <v>1512</v>
      </c>
    </row>
    <row r="63" spans="1:5" ht="29.25" customHeight="1">
      <c r="A63" s="15" t="s">
        <v>49</v>
      </c>
      <c r="B63" s="31">
        <v>7</v>
      </c>
      <c r="C63" s="17" t="s">
        <v>444</v>
      </c>
      <c r="D63" s="17" t="s">
        <v>1616</v>
      </c>
      <c r="E63" s="17" t="s">
        <v>935</v>
      </c>
    </row>
    <row r="64" spans="1:5" ht="15" customHeight="1">
      <c r="A64" s="15" t="s">
        <v>49</v>
      </c>
      <c r="B64" s="31">
        <v>8</v>
      </c>
      <c r="C64" s="17" t="s">
        <v>1617</v>
      </c>
      <c r="D64" s="17" t="s">
        <v>1618</v>
      </c>
      <c r="E64" s="17" t="s">
        <v>1619</v>
      </c>
    </row>
    <row r="65" spans="1:5" ht="29.25" customHeight="1">
      <c r="A65" s="15" t="s">
        <v>49</v>
      </c>
      <c r="B65" s="31">
        <v>9</v>
      </c>
      <c r="C65" s="17" t="s">
        <v>1620</v>
      </c>
      <c r="D65" s="17" t="s">
        <v>1621</v>
      </c>
      <c r="E65" s="17" t="s">
        <v>1368</v>
      </c>
    </row>
    <row r="66" spans="1:5" ht="29.25" customHeight="1">
      <c r="A66" s="15" t="s">
        <v>49</v>
      </c>
      <c r="B66" s="31">
        <v>10</v>
      </c>
      <c r="C66" s="17" t="s">
        <v>603</v>
      </c>
      <c r="D66" s="17" t="s">
        <v>1622</v>
      </c>
      <c r="E66" s="15" t="s">
        <v>607</v>
      </c>
    </row>
    <row r="67" spans="1:5" ht="15" customHeight="1">
      <c r="A67" s="66" t="s">
        <v>1623</v>
      </c>
      <c r="B67" s="66"/>
      <c r="C67" s="66"/>
      <c r="D67" s="66"/>
      <c r="E67" s="66"/>
    </row>
  </sheetData>
  <mergeCells count="11">
    <mergeCell ref="A67:E67"/>
    <mergeCell ref="A30:E30"/>
    <mergeCell ref="A41:E41"/>
    <mergeCell ref="A43:E43"/>
    <mergeCell ref="A54:E54"/>
    <mergeCell ref="A56:E56"/>
    <mergeCell ref="A1:E1"/>
    <mergeCell ref="A4:E4"/>
    <mergeCell ref="A15:E15"/>
    <mergeCell ref="A17:E17"/>
    <mergeCell ref="A28:E28"/>
  </mergeCells>
  <phoneticPr fontId="33"/>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zoomScaleNormal="100" workbookViewId="0">
      <pane ySplit="3" topLeftCell="A4" activePane="bottomLeft" state="frozen"/>
      <selection pane="bottomLeft" sqref="A1:E1"/>
    </sheetView>
  </sheetViews>
  <sheetFormatPr defaultColWidth="8.7109375" defaultRowHeight="15"/>
  <cols>
    <col min="1" max="1" width="14" customWidth="1"/>
    <col min="2" max="2" width="50" customWidth="1"/>
    <col min="3" max="3" width="18" customWidth="1"/>
    <col min="4" max="4" width="32" customWidth="1"/>
    <col min="5" max="5" width="22" customWidth="1"/>
  </cols>
  <sheetData>
    <row r="1" spans="1:5" ht="21" customHeight="1">
      <c r="A1" s="64" t="s">
        <v>1624</v>
      </c>
      <c r="B1" s="64"/>
      <c r="C1" s="64"/>
      <c r="D1" s="64"/>
      <c r="E1" s="64"/>
    </row>
    <row r="3" spans="1:5" ht="16.5" customHeight="1">
      <c r="A3" s="30" t="s">
        <v>1625</v>
      </c>
      <c r="B3" s="30" t="s">
        <v>57</v>
      </c>
      <c r="C3" s="30" t="s">
        <v>1626</v>
      </c>
      <c r="D3" s="30" t="s">
        <v>1627</v>
      </c>
      <c r="E3" s="30" t="s">
        <v>1628</v>
      </c>
    </row>
    <row r="4" spans="1:5" ht="15" customHeight="1">
      <c r="A4" s="32" t="s">
        <v>1629</v>
      </c>
      <c r="B4" s="17" t="s">
        <v>1630</v>
      </c>
      <c r="C4" s="15" t="s">
        <v>1631</v>
      </c>
      <c r="D4" s="17" t="s">
        <v>1632</v>
      </c>
      <c r="E4" s="17" t="s">
        <v>1633</v>
      </c>
    </row>
    <row r="5" spans="1:5" ht="15" customHeight="1">
      <c r="A5" s="33" t="s">
        <v>1634</v>
      </c>
      <c r="B5" s="17" t="s">
        <v>1635</v>
      </c>
      <c r="C5" s="15" t="s">
        <v>1636</v>
      </c>
      <c r="D5" s="15" t="s">
        <v>1637</v>
      </c>
      <c r="E5" s="15" t="s">
        <v>723</v>
      </c>
    </row>
    <row r="6" spans="1:5" ht="15" customHeight="1">
      <c r="A6" s="33" t="s">
        <v>1638</v>
      </c>
      <c r="B6" s="17" t="s">
        <v>1639</v>
      </c>
      <c r="C6" s="15" t="s">
        <v>817</v>
      </c>
      <c r="D6" s="15" t="s">
        <v>818</v>
      </c>
      <c r="E6" s="15" t="s">
        <v>1640</v>
      </c>
    </row>
    <row r="7" spans="1:5" ht="15" customHeight="1">
      <c r="A7" s="33" t="s">
        <v>1638</v>
      </c>
      <c r="B7" s="16" t="s">
        <v>1641</v>
      </c>
      <c r="C7" s="15" t="s">
        <v>948</v>
      </c>
      <c r="D7" s="15" t="s">
        <v>949</v>
      </c>
      <c r="E7" s="15" t="s">
        <v>1642</v>
      </c>
    </row>
    <row r="8" spans="1:5" ht="15" customHeight="1">
      <c r="A8" s="33" t="s">
        <v>1638</v>
      </c>
      <c r="B8" s="16" t="s">
        <v>1643</v>
      </c>
      <c r="C8" s="15" t="s">
        <v>948</v>
      </c>
      <c r="D8" s="15" t="s">
        <v>957</v>
      </c>
      <c r="E8" s="15" t="s">
        <v>1644</v>
      </c>
    </row>
    <row r="9" spans="1:5" ht="15" customHeight="1">
      <c r="A9" s="33" t="s">
        <v>1638</v>
      </c>
      <c r="B9" s="16" t="s">
        <v>1645</v>
      </c>
      <c r="C9" s="15" t="s">
        <v>967</v>
      </c>
      <c r="D9" s="17" t="s">
        <v>968</v>
      </c>
      <c r="E9" s="17" t="s">
        <v>332</v>
      </c>
    </row>
    <row r="10" spans="1:5" ht="15" customHeight="1">
      <c r="A10" s="33" t="s">
        <v>1638</v>
      </c>
      <c r="B10" s="16" t="s">
        <v>1646</v>
      </c>
      <c r="C10" s="15" t="s">
        <v>948</v>
      </c>
      <c r="D10" s="17" t="s">
        <v>968</v>
      </c>
      <c r="E10" s="17" t="s">
        <v>332</v>
      </c>
    </row>
    <row r="11" spans="1:5" ht="15" customHeight="1">
      <c r="A11" s="33" t="s">
        <v>1638</v>
      </c>
      <c r="B11" s="16" t="s">
        <v>1647</v>
      </c>
      <c r="C11" s="15" t="s">
        <v>948</v>
      </c>
      <c r="D11" s="15" t="s">
        <v>1200</v>
      </c>
      <c r="E11" s="15" t="s">
        <v>1648</v>
      </c>
    </row>
    <row r="12" spans="1:5" ht="15" customHeight="1">
      <c r="A12" s="34" t="s">
        <v>1649</v>
      </c>
      <c r="B12" s="17" t="s">
        <v>1650</v>
      </c>
      <c r="C12" s="15" t="s">
        <v>754</v>
      </c>
      <c r="D12" s="15" t="s">
        <v>1651</v>
      </c>
      <c r="E12" s="15" t="s">
        <v>1652</v>
      </c>
    </row>
    <row r="13" spans="1:5" ht="15" customHeight="1">
      <c r="A13" s="34" t="s">
        <v>1649</v>
      </c>
      <c r="B13" s="16" t="s">
        <v>1653</v>
      </c>
      <c r="C13" s="15" t="s">
        <v>124</v>
      </c>
      <c r="D13" s="17" t="s">
        <v>129</v>
      </c>
      <c r="E13" s="17" t="s">
        <v>332</v>
      </c>
    </row>
    <row r="14" spans="1:5" ht="15" customHeight="1">
      <c r="A14" s="34" t="s">
        <v>1649</v>
      </c>
      <c r="B14" s="17" t="s">
        <v>1654</v>
      </c>
      <c r="C14" s="15" t="s">
        <v>723</v>
      </c>
      <c r="D14" s="15" t="s">
        <v>1655</v>
      </c>
      <c r="E14" s="15" t="s">
        <v>1656</v>
      </c>
    </row>
    <row r="15" spans="1:5" ht="15" customHeight="1">
      <c r="A15" s="35" t="s">
        <v>1634</v>
      </c>
      <c r="B15" s="17" t="s">
        <v>1657</v>
      </c>
      <c r="C15" s="15" t="s">
        <v>124</v>
      </c>
      <c r="D15" s="15" t="s">
        <v>124</v>
      </c>
      <c r="E15" s="17" t="s">
        <v>332</v>
      </c>
    </row>
    <row r="16" spans="1:5" ht="15" customHeight="1">
      <c r="A16" s="35" t="s">
        <v>1634</v>
      </c>
      <c r="B16" s="17" t="s">
        <v>1658</v>
      </c>
      <c r="C16" s="15" t="s">
        <v>703</v>
      </c>
      <c r="D16" s="15" t="s">
        <v>124</v>
      </c>
      <c r="E16" s="15" t="s">
        <v>702</v>
      </c>
    </row>
    <row r="17" spans="1:5" ht="15" customHeight="1">
      <c r="A17" s="36" t="s">
        <v>1659</v>
      </c>
      <c r="B17" s="17" t="s">
        <v>1660</v>
      </c>
      <c r="C17" s="15" t="s">
        <v>848</v>
      </c>
      <c r="D17" s="15" t="s">
        <v>1661</v>
      </c>
      <c r="E17" s="17" t="s">
        <v>332</v>
      </c>
    </row>
    <row r="18" spans="1:5" ht="15" customHeight="1">
      <c r="A18" s="36" t="s">
        <v>1659</v>
      </c>
      <c r="B18" s="17" t="s">
        <v>1662</v>
      </c>
      <c r="C18" s="17" t="s">
        <v>332</v>
      </c>
      <c r="D18" s="15" t="s">
        <v>1663</v>
      </c>
      <c r="E18" s="17" t="s">
        <v>332</v>
      </c>
    </row>
    <row r="19" spans="1:5" ht="15" customHeight="1">
      <c r="A19" s="36" t="s">
        <v>1659</v>
      </c>
      <c r="B19" s="17" t="s">
        <v>1664</v>
      </c>
      <c r="C19" s="15" t="s">
        <v>848</v>
      </c>
      <c r="D19" s="15" t="s">
        <v>124</v>
      </c>
      <c r="E19" s="17" t="s">
        <v>332</v>
      </c>
    </row>
    <row r="20" spans="1:5" ht="15" customHeight="1">
      <c r="A20" s="37" t="s">
        <v>1665</v>
      </c>
      <c r="B20" s="17" t="s">
        <v>1666</v>
      </c>
      <c r="C20" s="15" t="s">
        <v>243</v>
      </c>
      <c r="D20" s="15" t="s">
        <v>244</v>
      </c>
      <c r="E20" s="15" t="s">
        <v>1667</v>
      </c>
    </row>
    <row r="21" spans="1:5" ht="15" customHeight="1">
      <c r="A21" s="37" t="s">
        <v>1665</v>
      </c>
      <c r="B21" s="17" t="s">
        <v>1668</v>
      </c>
      <c r="C21" s="15" t="s">
        <v>1669</v>
      </c>
      <c r="D21" s="15" t="s">
        <v>1670</v>
      </c>
      <c r="E21" s="15" t="s">
        <v>1671</v>
      </c>
    </row>
    <row r="22" spans="1:5" ht="15" customHeight="1">
      <c r="A22" s="37" t="s">
        <v>1665</v>
      </c>
      <c r="B22" s="16" t="s">
        <v>1672</v>
      </c>
      <c r="C22" s="15" t="s">
        <v>967</v>
      </c>
      <c r="D22" s="15" t="s">
        <v>1177</v>
      </c>
      <c r="E22" s="15" t="s">
        <v>1673</v>
      </c>
    </row>
    <row r="23" spans="1:5" ht="15" customHeight="1">
      <c r="A23" s="38" t="s">
        <v>1674</v>
      </c>
      <c r="B23" s="17" t="s">
        <v>1675</v>
      </c>
      <c r="C23" s="17" t="s">
        <v>332</v>
      </c>
      <c r="D23" s="15" t="s">
        <v>1655</v>
      </c>
      <c r="E23" s="15" t="s">
        <v>1656</v>
      </c>
    </row>
    <row r="24" spans="1:5" ht="15" customHeight="1">
      <c r="A24" s="38" t="s">
        <v>1674</v>
      </c>
      <c r="B24" s="17" t="s">
        <v>1676</v>
      </c>
      <c r="C24" s="15" t="s">
        <v>1677</v>
      </c>
      <c r="D24" s="15" t="s">
        <v>1678</v>
      </c>
      <c r="E24" s="17" t="s">
        <v>332</v>
      </c>
    </row>
    <row r="25" spans="1:5" ht="15" customHeight="1">
      <c r="A25" s="39" t="s">
        <v>1679</v>
      </c>
      <c r="B25" s="17" t="s">
        <v>1680</v>
      </c>
      <c r="C25" s="17" t="s">
        <v>332</v>
      </c>
      <c r="D25" s="15" t="s">
        <v>244</v>
      </c>
      <c r="E25" s="15" t="s">
        <v>1177</v>
      </c>
    </row>
    <row r="26" spans="1:5" ht="15" customHeight="1">
      <c r="A26" s="39" t="s">
        <v>1679</v>
      </c>
      <c r="B26" s="17" t="s">
        <v>1681</v>
      </c>
      <c r="C26" s="15" t="s">
        <v>1682</v>
      </c>
      <c r="D26" s="15" t="s">
        <v>1644</v>
      </c>
      <c r="E26" s="15" t="s">
        <v>1177</v>
      </c>
    </row>
    <row r="27" spans="1:5" ht="15" customHeight="1">
      <c r="A27" s="40" t="s">
        <v>1683</v>
      </c>
      <c r="B27" s="17" t="s">
        <v>1684</v>
      </c>
      <c r="C27" s="17" t="s">
        <v>332</v>
      </c>
      <c r="D27" s="15" t="s">
        <v>1685</v>
      </c>
      <c r="E27" s="17" t="s">
        <v>332</v>
      </c>
    </row>
    <row r="28" spans="1:5" ht="15" customHeight="1">
      <c r="A28" s="40" t="s">
        <v>1683</v>
      </c>
      <c r="B28" s="17" t="s">
        <v>1686</v>
      </c>
      <c r="C28" s="15" t="s">
        <v>1687</v>
      </c>
      <c r="D28" s="15" t="s">
        <v>1688</v>
      </c>
      <c r="E28" s="17" t="s">
        <v>332</v>
      </c>
    </row>
    <row r="29" spans="1:5" ht="15" customHeight="1">
      <c r="A29" s="40" t="s">
        <v>1683</v>
      </c>
      <c r="B29" s="17" t="s">
        <v>1689</v>
      </c>
      <c r="C29" s="17" t="s">
        <v>332</v>
      </c>
      <c r="D29" s="15" t="s">
        <v>1690</v>
      </c>
      <c r="E29" s="17" t="s">
        <v>332</v>
      </c>
    </row>
    <row r="30" spans="1:5" ht="15" customHeight="1">
      <c r="A30" s="41" t="s">
        <v>1691</v>
      </c>
      <c r="B30" s="17" t="s">
        <v>1692</v>
      </c>
      <c r="C30" s="17" t="s">
        <v>332</v>
      </c>
      <c r="D30" s="15" t="s">
        <v>1688</v>
      </c>
      <c r="E30" s="17" t="s">
        <v>332</v>
      </c>
    </row>
    <row r="31" spans="1:5" ht="15" customHeight="1">
      <c r="A31" s="41" t="s">
        <v>1691</v>
      </c>
      <c r="B31" s="17" t="s">
        <v>1693</v>
      </c>
      <c r="C31" s="17" t="s">
        <v>332</v>
      </c>
      <c r="D31" s="15" t="s">
        <v>957</v>
      </c>
      <c r="E31" s="17" t="s">
        <v>332</v>
      </c>
    </row>
    <row r="32" spans="1:5" ht="15" customHeight="1">
      <c r="A32" s="41" t="s">
        <v>1691</v>
      </c>
      <c r="B32" s="16" t="s">
        <v>1694</v>
      </c>
      <c r="C32" s="17" t="s">
        <v>332</v>
      </c>
      <c r="D32" s="15" t="s">
        <v>949</v>
      </c>
      <c r="E32" s="15" t="s">
        <v>1642</v>
      </c>
    </row>
    <row r="33" spans="1:5" ht="15" customHeight="1">
      <c r="A33" s="41" t="s">
        <v>1691</v>
      </c>
      <c r="B33" s="16" t="s">
        <v>1695</v>
      </c>
      <c r="C33" s="17" t="s">
        <v>332</v>
      </c>
      <c r="D33" s="15" t="s">
        <v>1200</v>
      </c>
      <c r="E33" s="15" t="s">
        <v>1648</v>
      </c>
    </row>
    <row r="34" spans="1:5" ht="15" customHeight="1">
      <c r="A34" s="41" t="s">
        <v>1691</v>
      </c>
      <c r="B34" s="16" t="s">
        <v>1696</v>
      </c>
      <c r="C34" s="17" t="s">
        <v>332</v>
      </c>
      <c r="D34" s="15" t="s">
        <v>957</v>
      </c>
      <c r="E34" s="15" t="s">
        <v>1644</v>
      </c>
    </row>
    <row r="35" spans="1:5" ht="15" customHeight="1">
      <c r="A35" s="42" t="s">
        <v>1697</v>
      </c>
      <c r="B35" s="17" t="s">
        <v>1698</v>
      </c>
      <c r="C35" s="15" t="s">
        <v>1699</v>
      </c>
      <c r="D35" s="15" t="s">
        <v>755</v>
      </c>
      <c r="E35" s="17" t="s">
        <v>332</v>
      </c>
    </row>
    <row r="36" spans="1:5" ht="15" customHeight="1">
      <c r="A36" s="43" t="s">
        <v>1700</v>
      </c>
      <c r="B36" s="17" t="s">
        <v>1701</v>
      </c>
      <c r="C36" s="17" t="s">
        <v>332</v>
      </c>
      <c r="D36" s="15" t="s">
        <v>630</v>
      </c>
      <c r="E36" s="17" t="s">
        <v>332</v>
      </c>
    </row>
    <row r="37" spans="1:5" ht="15" customHeight="1">
      <c r="A37" s="43" t="s">
        <v>1700</v>
      </c>
      <c r="B37" s="17" t="s">
        <v>1702</v>
      </c>
      <c r="C37" s="17" t="s">
        <v>332</v>
      </c>
      <c r="D37" s="15" t="s">
        <v>630</v>
      </c>
      <c r="E37" s="17" t="s">
        <v>332</v>
      </c>
    </row>
    <row r="38" spans="1:5" ht="15" customHeight="1">
      <c r="A38" s="43" t="s">
        <v>1700</v>
      </c>
      <c r="B38" s="17" t="s">
        <v>1703</v>
      </c>
      <c r="C38" s="17" t="s">
        <v>332</v>
      </c>
      <c r="D38" s="15" t="s">
        <v>630</v>
      </c>
      <c r="E38" s="17" t="s">
        <v>332</v>
      </c>
    </row>
    <row r="39" spans="1:5" ht="15" customHeight="1">
      <c r="A39" s="43" t="s">
        <v>1700</v>
      </c>
      <c r="B39" s="17" t="s">
        <v>1704</v>
      </c>
      <c r="C39" s="17" t="s">
        <v>332</v>
      </c>
      <c r="D39" s="15" t="s">
        <v>630</v>
      </c>
      <c r="E39" s="17" t="s">
        <v>332</v>
      </c>
    </row>
    <row r="40" spans="1:5" ht="15" customHeight="1">
      <c r="A40" s="67" t="s">
        <v>1705</v>
      </c>
      <c r="B40" s="67"/>
      <c r="C40" s="67"/>
      <c r="D40" s="67"/>
      <c r="E40" s="67"/>
    </row>
    <row r="41" spans="1:5" ht="15" customHeight="1">
      <c r="A41" s="44" t="s">
        <v>1706</v>
      </c>
      <c r="B41" s="44" t="s">
        <v>1660</v>
      </c>
      <c r="C41" s="44" t="s">
        <v>1707</v>
      </c>
      <c r="D41" s="44" t="s">
        <v>1708</v>
      </c>
      <c r="E41" s="44" t="s">
        <v>1709</v>
      </c>
    </row>
    <row r="42" spans="1:5" ht="15" customHeight="1">
      <c r="A42" s="44" t="s">
        <v>1706</v>
      </c>
      <c r="B42" s="44" t="s">
        <v>1664</v>
      </c>
      <c r="C42" s="44" t="s">
        <v>1707</v>
      </c>
      <c r="D42" s="44" t="s">
        <v>1708</v>
      </c>
      <c r="E42" s="44" t="s">
        <v>1709</v>
      </c>
    </row>
    <row r="43" spans="1:5" ht="15" customHeight="1">
      <c r="A43" s="44" t="s">
        <v>1706</v>
      </c>
      <c r="B43" s="44" t="s">
        <v>1710</v>
      </c>
      <c r="C43" s="44" t="s">
        <v>1707</v>
      </c>
      <c r="D43" s="44" t="s">
        <v>1708</v>
      </c>
      <c r="E43" s="44" t="s">
        <v>1709</v>
      </c>
    </row>
    <row r="44" spans="1:5" ht="45.75" customHeight="1">
      <c r="A44" s="44" t="s">
        <v>1711</v>
      </c>
      <c r="B44" s="44" t="s">
        <v>1712</v>
      </c>
      <c r="C44" s="44" t="s">
        <v>1713</v>
      </c>
      <c r="D44" s="44" t="s">
        <v>1708</v>
      </c>
      <c r="E44" s="44" t="s">
        <v>1709</v>
      </c>
    </row>
    <row r="45" spans="1:5" ht="15" customHeight="1">
      <c r="A45" s="44" t="s">
        <v>1706</v>
      </c>
      <c r="B45" s="44" t="s">
        <v>1714</v>
      </c>
      <c r="C45" s="44" t="s">
        <v>1707</v>
      </c>
      <c r="D45" s="44" t="s">
        <v>1708</v>
      </c>
      <c r="E45" s="44" t="s">
        <v>1709</v>
      </c>
    </row>
    <row r="46" spans="1:5" ht="15" customHeight="1">
      <c r="A46" s="44" t="s">
        <v>1706</v>
      </c>
      <c r="B46" s="44" t="s">
        <v>1715</v>
      </c>
      <c r="C46" s="44" t="s">
        <v>1707</v>
      </c>
      <c r="D46" s="44" t="s">
        <v>1708</v>
      </c>
      <c r="E46" s="44" t="s">
        <v>1709</v>
      </c>
    </row>
    <row r="47" spans="1:5" ht="15" customHeight="1">
      <c r="A47" s="45" t="s">
        <v>1716</v>
      </c>
    </row>
    <row r="48" spans="1:5" ht="15" customHeight="1"/>
    <row r="49" ht="15" customHeight="1"/>
    <row r="50" ht="15" customHeight="1"/>
    <row r="51" ht="15" customHeight="1"/>
    <row r="52" ht="15" customHeight="1"/>
    <row r="53" ht="15" customHeight="1"/>
  </sheetData>
  <mergeCells count="2">
    <mergeCell ref="A1:E1"/>
    <mergeCell ref="A40:E40"/>
  </mergeCells>
  <phoneticPr fontId="33"/>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4"/>
  <sheetViews>
    <sheetView zoomScaleNormal="100" workbookViewId="0">
      <pane ySplit="3" topLeftCell="A4" activePane="bottomLeft" state="frozen"/>
      <selection pane="bottomLeft" sqref="A1:D1"/>
    </sheetView>
  </sheetViews>
  <sheetFormatPr defaultColWidth="8.7109375" defaultRowHeight="15"/>
  <cols>
    <col min="1" max="1" width="6" customWidth="1"/>
    <col min="2" max="2" width="40" customWidth="1"/>
    <col min="3" max="3" width="30" customWidth="1"/>
    <col min="4" max="4" width="55" customWidth="1"/>
  </cols>
  <sheetData>
    <row r="1" spans="1:4" ht="21" customHeight="1">
      <c r="A1" s="64" t="s">
        <v>1717</v>
      </c>
      <c r="B1" s="64"/>
      <c r="C1" s="64"/>
      <c r="D1" s="64"/>
    </row>
    <row r="2" spans="1:4" ht="15" customHeight="1">
      <c r="A2" s="59" t="s">
        <v>1718</v>
      </c>
      <c r="B2" s="59"/>
      <c r="C2" s="59"/>
      <c r="D2" s="59"/>
    </row>
    <row r="4" spans="1:4" ht="18.75" customHeight="1">
      <c r="A4" s="68" t="s">
        <v>1719</v>
      </c>
      <c r="B4" s="68"/>
      <c r="C4" s="68"/>
      <c r="D4" s="68"/>
    </row>
    <row r="5" spans="1:4" ht="16.5" customHeight="1">
      <c r="A5" s="46" t="s">
        <v>54</v>
      </c>
      <c r="B5" s="30" t="s">
        <v>1720</v>
      </c>
      <c r="C5" s="30" t="s">
        <v>1721</v>
      </c>
      <c r="D5" s="30" t="s">
        <v>1722</v>
      </c>
    </row>
    <row r="6" spans="1:4" ht="43.5" customHeight="1">
      <c r="A6" s="15">
        <v>1</v>
      </c>
      <c r="B6" s="17" t="s">
        <v>1723</v>
      </c>
      <c r="C6" s="17" t="s">
        <v>1724</v>
      </c>
      <c r="D6" s="17" t="s">
        <v>1725</v>
      </c>
    </row>
    <row r="7" spans="1:4" ht="29.25" customHeight="1">
      <c r="A7" s="15">
        <v>2</v>
      </c>
      <c r="B7" s="17" t="s">
        <v>1726</v>
      </c>
      <c r="C7" s="17" t="s">
        <v>1727</v>
      </c>
      <c r="D7" s="17" t="s">
        <v>1728</v>
      </c>
    </row>
    <row r="8" spans="1:4" ht="29.25" customHeight="1">
      <c r="A8" s="15">
        <v>3</v>
      </c>
      <c r="B8" s="17" t="s">
        <v>1729</v>
      </c>
      <c r="C8" s="17" t="s">
        <v>1730</v>
      </c>
      <c r="D8" s="17" t="s">
        <v>1731</v>
      </c>
    </row>
    <row r="9" spans="1:4" ht="29.25" customHeight="1">
      <c r="A9" s="15">
        <v>4</v>
      </c>
      <c r="B9" s="17" t="s">
        <v>1732</v>
      </c>
      <c r="C9" s="17" t="s">
        <v>1733</v>
      </c>
      <c r="D9" s="17" t="s">
        <v>1734</v>
      </c>
    </row>
    <row r="10" spans="1:4" ht="29.25" customHeight="1">
      <c r="A10" s="15">
        <v>5</v>
      </c>
      <c r="B10" s="17" t="s">
        <v>1735</v>
      </c>
      <c r="C10" s="17" t="s">
        <v>1736</v>
      </c>
      <c r="D10" s="17" t="s">
        <v>1737</v>
      </c>
    </row>
    <row r="12" spans="1:4" ht="18.75" customHeight="1">
      <c r="A12" s="69" t="s">
        <v>1738</v>
      </c>
      <c r="B12" s="69"/>
      <c r="C12" s="69"/>
      <c r="D12" s="69"/>
    </row>
    <row r="13" spans="1:4" ht="16.5" customHeight="1">
      <c r="A13" s="46" t="s">
        <v>54</v>
      </c>
      <c r="B13" s="30" t="s">
        <v>1720</v>
      </c>
      <c r="C13" s="30" t="s">
        <v>1721</v>
      </c>
      <c r="D13" s="30" t="s">
        <v>1722</v>
      </c>
    </row>
    <row r="14" spans="1:4" ht="15" customHeight="1"/>
    <row r="15" spans="1:4" ht="15" customHeight="1">
      <c r="A15" s="15">
        <v>1</v>
      </c>
      <c r="B15" s="17" t="s">
        <v>1739</v>
      </c>
      <c r="C15" s="15" t="s">
        <v>1740</v>
      </c>
      <c r="D15" s="17" t="s">
        <v>1741</v>
      </c>
    </row>
    <row r="16" spans="1:4" ht="15" customHeight="1">
      <c r="A16" s="15">
        <v>2</v>
      </c>
      <c r="B16" s="17" t="s">
        <v>1742</v>
      </c>
      <c r="C16" s="15" t="s">
        <v>1743</v>
      </c>
      <c r="D16" s="17" t="s">
        <v>1744</v>
      </c>
    </row>
    <row r="17" spans="1:4" ht="15" customHeight="1">
      <c r="A17" s="15">
        <v>3</v>
      </c>
      <c r="B17" s="17" t="s">
        <v>1745</v>
      </c>
      <c r="C17" s="17" t="s">
        <v>1746</v>
      </c>
      <c r="D17" s="15" t="s">
        <v>1747</v>
      </c>
    </row>
    <row r="18" spans="1:4" ht="15" customHeight="1">
      <c r="A18" s="47" t="s">
        <v>1748</v>
      </c>
      <c r="B18" s="48"/>
      <c r="C18" s="48"/>
      <c r="D18" s="48"/>
    </row>
    <row r="19" spans="1:4" ht="15" customHeight="1">
      <c r="A19" s="46" t="s">
        <v>54</v>
      </c>
      <c r="B19" s="30" t="s">
        <v>1720</v>
      </c>
      <c r="C19" s="30" t="s">
        <v>1721</v>
      </c>
      <c r="D19" s="30" t="s">
        <v>1722</v>
      </c>
    </row>
    <row r="20" spans="1:4" ht="15" customHeight="1">
      <c r="A20" s="15">
        <v>1</v>
      </c>
      <c r="B20" s="15" t="s">
        <v>1749</v>
      </c>
      <c r="C20" s="17" t="s">
        <v>1750</v>
      </c>
      <c r="D20" s="17" t="s">
        <v>1751</v>
      </c>
    </row>
    <row r="21" spans="1:4" ht="15" customHeight="1">
      <c r="A21" s="15">
        <v>2</v>
      </c>
      <c r="B21" s="17" t="s">
        <v>1752</v>
      </c>
      <c r="C21" s="17" t="s">
        <v>1753</v>
      </c>
      <c r="D21" s="17" t="s">
        <v>1754</v>
      </c>
    </row>
    <row r="22" spans="1:4" ht="15" customHeight="1">
      <c r="A22" s="15">
        <v>3</v>
      </c>
      <c r="B22" s="17" t="s">
        <v>1755</v>
      </c>
      <c r="C22" s="17" t="s">
        <v>1753</v>
      </c>
      <c r="D22" s="17" t="s">
        <v>1756</v>
      </c>
    </row>
    <row r="23" spans="1:4" ht="29.25" customHeight="1">
      <c r="A23" s="15">
        <v>4</v>
      </c>
      <c r="B23" s="17" t="s">
        <v>1757</v>
      </c>
      <c r="C23" s="17" t="s">
        <v>1758</v>
      </c>
      <c r="D23" s="15" t="s">
        <v>1759</v>
      </c>
    </row>
    <row r="24" spans="1:4" ht="15" customHeight="1">
      <c r="A24" s="15">
        <v>5</v>
      </c>
      <c r="B24" s="17" t="s">
        <v>1760</v>
      </c>
      <c r="C24" s="17" t="s">
        <v>1761</v>
      </c>
      <c r="D24" s="17" t="s">
        <v>1762</v>
      </c>
    </row>
    <row r="25" spans="1:4" ht="15" customHeight="1">
      <c r="A25" s="15">
        <v>6</v>
      </c>
      <c r="B25" s="17" t="s">
        <v>1763</v>
      </c>
      <c r="C25" s="15" t="s">
        <v>1764</v>
      </c>
      <c r="D25" s="17" t="s">
        <v>1765</v>
      </c>
    </row>
    <row r="26" spans="1:4" ht="16.5" customHeight="1">
      <c r="A26" s="15">
        <v>7</v>
      </c>
      <c r="B26" s="17" t="s">
        <v>1766</v>
      </c>
      <c r="C26" s="17" t="s">
        <v>1767</v>
      </c>
      <c r="D26" s="17" t="s">
        <v>1768</v>
      </c>
    </row>
    <row r="27" spans="1:4" ht="15" customHeight="1"/>
    <row r="28" spans="1:4" ht="15" customHeight="1">
      <c r="A28" s="49" t="s">
        <v>1769</v>
      </c>
      <c r="B28" s="48"/>
      <c r="C28" s="48"/>
      <c r="D28" s="48"/>
    </row>
    <row r="29" spans="1:4" ht="15" customHeight="1">
      <c r="A29" s="46" t="s">
        <v>54</v>
      </c>
      <c r="B29" s="30" t="s">
        <v>1720</v>
      </c>
      <c r="C29" s="30" t="s">
        <v>1721</v>
      </c>
      <c r="D29" s="30" t="s">
        <v>1722</v>
      </c>
    </row>
    <row r="30" spans="1:4" ht="15" customHeight="1">
      <c r="A30" s="15">
        <v>1</v>
      </c>
      <c r="B30" s="17" t="s">
        <v>1770</v>
      </c>
      <c r="C30" s="17" t="s">
        <v>1771</v>
      </c>
      <c r="D30" s="17" t="s">
        <v>1772</v>
      </c>
    </row>
    <row r="31" spans="1:4" ht="15" customHeight="1">
      <c r="A31" s="15">
        <v>2</v>
      </c>
      <c r="B31" s="17" t="s">
        <v>1773</v>
      </c>
      <c r="C31" s="17" t="s">
        <v>1771</v>
      </c>
      <c r="D31" s="17" t="s">
        <v>1774</v>
      </c>
    </row>
    <row r="32" spans="1:4" ht="15" customHeight="1">
      <c r="A32" s="15">
        <v>3</v>
      </c>
      <c r="B32" s="17" t="s">
        <v>1775</v>
      </c>
      <c r="C32" s="17" t="s">
        <v>1776</v>
      </c>
      <c r="D32" s="17" t="s">
        <v>1777</v>
      </c>
    </row>
    <row r="33" spans="1:4" ht="15" customHeight="1">
      <c r="A33" s="15">
        <v>4</v>
      </c>
      <c r="B33" s="17" t="s">
        <v>1778</v>
      </c>
      <c r="C33" s="17" t="s">
        <v>1779</v>
      </c>
      <c r="D33" s="17" t="s">
        <v>1780</v>
      </c>
    </row>
    <row r="34" spans="1:4" ht="15" customHeight="1">
      <c r="A34" s="15">
        <v>5</v>
      </c>
      <c r="B34" s="17" t="s">
        <v>1781</v>
      </c>
      <c r="C34" s="17" t="s">
        <v>1782</v>
      </c>
      <c r="D34" s="17" t="s">
        <v>1783</v>
      </c>
    </row>
    <row r="35" spans="1:4" ht="15" customHeight="1">
      <c r="A35" s="15">
        <v>6</v>
      </c>
      <c r="B35" s="17" t="s">
        <v>1784</v>
      </c>
      <c r="C35" s="17" t="s">
        <v>1785</v>
      </c>
      <c r="D35" s="17" t="s">
        <v>1786</v>
      </c>
    </row>
    <row r="36" spans="1:4" ht="15" customHeight="1">
      <c r="A36" s="15">
        <v>7</v>
      </c>
      <c r="B36" s="17" t="s">
        <v>1787</v>
      </c>
      <c r="C36" s="17" t="s">
        <v>1788</v>
      </c>
      <c r="D36" s="17" t="s">
        <v>1789</v>
      </c>
    </row>
    <row r="37" spans="1:4" ht="15" customHeight="1"/>
    <row r="38" spans="1:4" ht="15" customHeight="1">
      <c r="A38" s="50" t="s">
        <v>1790</v>
      </c>
      <c r="B38" s="48"/>
      <c r="C38" s="48"/>
      <c r="D38" s="48"/>
    </row>
    <row r="39" spans="1:4" ht="15" customHeight="1">
      <c r="A39" s="46" t="s">
        <v>54</v>
      </c>
      <c r="B39" s="48"/>
      <c r="C39" s="48"/>
      <c r="D39" s="51"/>
    </row>
    <row r="40" spans="1:4" ht="15" customHeight="1">
      <c r="A40" s="15">
        <v>1</v>
      </c>
      <c r="B40" s="17" t="s">
        <v>1791</v>
      </c>
      <c r="C40" s="15" t="s">
        <v>1792</v>
      </c>
      <c r="D40" s="15" t="s">
        <v>1793</v>
      </c>
    </row>
    <row r="41" spans="1:4" ht="16.5" customHeight="1">
      <c r="A41" s="15">
        <v>2</v>
      </c>
      <c r="B41" s="17" t="s">
        <v>1794</v>
      </c>
      <c r="C41" s="15" t="s">
        <v>1795</v>
      </c>
      <c r="D41" s="17" t="s">
        <v>1796</v>
      </c>
    </row>
    <row r="42" spans="1:4" ht="15" customHeight="1">
      <c r="A42" s="15">
        <v>3</v>
      </c>
      <c r="B42" s="17" t="s">
        <v>1797</v>
      </c>
      <c r="C42" s="17" t="s">
        <v>304</v>
      </c>
      <c r="D42" s="15" t="s">
        <v>1798</v>
      </c>
    </row>
    <row r="43" spans="1:4" ht="15" customHeight="1">
      <c r="A43" s="15">
        <v>4</v>
      </c>
      <c r="B43" s="17" t="s">
        <v>1799</v>
      </c>
      <c r="C43" s="17" t="s">
        <v>304</v>
      </c>
      <c r="D43" s="15" t="s">
        <v>1800</v>
      </c>
    </row>
    <row r="44" spans="1:4" ht="15" customHeight="1">
      <c r="A44" s="15">
        <v>5</v>
      </c>
      <c r="B44" s="17" t="s">
        <v>1801</v>
      </c>
      <c r="C44" s="15" t="s">
        <v>1802</v>
      </c>
      <c r="D44" s="17" t="s">
        <v>1803</v>
      </c>
    </row>
    <row r="45" spans="1:4" ht="15" customHeight="1">
      <c r="A45" s="15">
        <v>6</v>
      </c>
      <c r="B45" s="17" t="s">
        <v>1739</v>
      </c>
      <c r="C45" s="15" t="s">
        <v>1669</v>
      </c>
      <c r="D45" s="17" t="s">
        <v>1607</v>
      </c>
    </row>
    <row r="46" spans="1:4" ht="15" customHeight="1">
      <c r="A46" s="15">
        <v>7</v>
      </c>
      <c r="B46" s="17" t="s">
        <v>1804</v>
      </c>
      <c r="C46" s="15" t="s">
        <v>124</v>
      </c>
      <c r="D46" s="17" t="s">
        <v>1805</v>
      </c>
    </row>
    <row r="47" spans="1:4" ht="15" customHeight="1">
      <c r="A47" s="15">
        <v>8</v>
      </c>
      <c r="B47" s="17" t="s">
        <v>1806</v>
      </c>
      <c r="C47" s="15" t="s">
        <v>124</v>
      </c>
      <c r="D47" s="15" t="s">
        <v>1807</v>
      </c>
    </row>
    <row r="48" spans="1:4" ht="15" customHeight="1"/>
    <row r="49" spans="1:4" ht="15" customHeight="1"/>
    <row r="50" spans="1:4" ht="15" customHeight="1"/>
    <row r="51" spans="1:4" ht="15" customHeight="1"/>
    <row r="52" spans="1:4" ht="29.25" customHeight="1"/>
    <row r="53" spans="1:4" ht="18.75" customHeight="1">
      <c r="A53" s="70"/>
      <c r="B53" s="70"/>
      <c r="C53" s="70"/>
      <c r="D53" s="70"/>
    </row>
    <row r="54" spans="1:4" ht="16.5" customHeight="1"/>
    <row r="55" spans="1:4" ht="15" customHeight="1"/>
    <row r="56" spans="1:4" ht="15" customHeight="1"/>
    <row r="57" spans="1:4" ht="15" customHeight="1"/>
    <row r="58" spans="1:4" ht="29.25" customHeight="1"/>
    <row r="59" spans="1:4" ht="29.25" customHeight="1"/>
    <row r="60" spans="1:4" ht="15" customHeight="1"/>
    <row r="61" spans="1:4" ht="15" customHeight="1"/>
    <row r="62" spans="1:4" ht="15" customHeight="1"/>
    <row r="63" spans="1:4" ht="15" customHeight="1"/>
    <row r="64" spans="1:4" ht="15" customHeight="1"/>
  </sheetData>
  <mergeCells count="5">
    <mergeCell ref="A1:D1"/>
    <mergeCell ref="A2:D2"/>
    <mergeCell ref="A4:D4"/>
    <mergeCell ref="A12:D12"/>
    <mergeCell ref="A53:D53"/>
  </mergeCells>
  <phoneticPr fontId="33"/>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zoomScaleNormal="100" workbookViewId="0">
      <pane ySplit="4" topLeftCell="A5" activePane="bottomLeft" state="frozen"/>
      <selection pane="bottomLeft" sqref="A1:D1"/>
    </sheetView>
  </sheetViews>
  <sheetFormatPr defaultColWidth="8.7109375" defaultRowHeight="15"/>
  <cols>
    <col min="1" max="1" width="6" customWidth="1"/>
    <col min="2" max="2" width="38" customWidth="1"/>
    <col min="3" max="3" width="65" customWidth="1"/>
    <col min="4" max="4" width="30" customWidth="1"/>
  </cols>
  <sheetData>
    <row r="1" spans="1:4" ht="21" customHeight="1">
      <c r="A1" s="64" t="s">
        <v>1808</v>
      </c>
      <c r="B1" s="64"/>
      <c r="C1" s="64"/>
      <c r="D1" s="64"/>
    </row>
    <row r="2" spans="1:4" ht="30" customHeight="1">
      <c r="A2" s="71" t="s">
        <v>1809</v>
      </c>
      <c r="B2" s="71"/>
      <c r="C2" s="71"/>
      <c r="D2" s="71"/>
    </row>
    <row r="4" spans="1:4" ht="24.75" customHeight="1">
      <c r="A4" s="30" t="s">
        <v>1496</v>
      </c>
      <c r="B4" s="30" t="s">
        <v>57</v>
      </c>
      <c r="C4" s="30" t="s">
        <v>1810</v>
      </c>
      <c r="D4" s="30" t="s">
        <v>1811</v>
      </c>
    </row>
    <row r="5" spans="1:4" ht="75" customHeight="1">
      <c r="A5" s="52">
        <v>1</v>
      </c>
      <c r="B5" s="17" t="s">
        <v>1812</v>
      </c>
      <c r="C5" s="17" t="s">
        <v>1813</v>
      </c>
      <c r="D5" s="17" t="s">
        <v>1814</v>
      </c>
    </row>
    <row r="6" spans="1:4" ht="75" customHeight="1">
      <c r="A6" s="52">
        <v>2</v>
      </c>
      <c r="B6" s="17" t="s">
        <v>1815</v>
      </c>
      <c r="C6" s="17" t="s">
        <v>1816</v>
      </c>
      <c r="D6" s="17" t="s">
        <v>1817</v>
      </c>
    </row>
    <row r="7" spans="1:4" ht="75" customHeight="1">
      <c r="A7" s="52">
        <v>3</v>
      </c>
      <c r="B7" s="17" t="s">
        <v>1529</v>
      </c>
      <c r="C7" s="17" t="s">
        <v>1818</v>
      </c>
      <c r="D7" s="17" t="s">
        <v>1819</v>
      </c>
    </row>
    <row r="8" spans="1:4" ht="75" customHeight="1">
      <c r="A8" s="31">
        <v>4</v>
      </c>
      <c r="B8" s="17" t="s">
        <v>1820</v>
      </c>
      <c r="C8" s="17" t="s">
        <v>1821</v>
      </c>
      <c r="D8" s="17" t="s">
        <v>1822</v>
      </c>
    </row>
    <row r="9" spans="1:4" ht="75" customHeight="1">
      <c r="A9" s="31">
        <v>5</v>
      </c>
      <c r="B9" s="17" t="s">
        <v>1823</v>
      </c>
      <c r="C9" s="17" t="s">
        <v>1824</v>
      </c>
      <c r="D9" s="17" t="s">
        <v>1825</v>
      </c>
    </row>
    <row r="10" spans="1:4" ht="75" customHeight="1">
      <c r="A10" s="31">
        <v>6</v>
      </c>
      <c r="B10" s="17" t="s">
        <v>1826</v>
      </c>
      <c r="C10" s="17" t="s">
        <v>1827</v>
      </c>
      <c r="D10" s="15" t="s">
        <v>1828</v>
      </c>
    </row>
    <row r="11" spans="1:4" ht="75" customHeight="1">
      <c r="A11" s="31">
        <v>7</v>
      </c>
      <c r="B11" s="17" t="s">
        <v>1829</v>
      </c>
      <c r="C11" s="17" t="s">
        <v>1830</v>
      </c>
      <c r="D11" s="17" t="s">
        <v>1831</v>
      </c>
    </row>
    <row r="12" spans="1:4" ht="75" customHeight="1">
      <c r="A12" s="31">
        <v>8</v>
      </c>
      <c r="B12" s="17" t="s">
        <v>1832</v>
      </c>
      <c r="C12" s="17" t="s">
        <v>1833</v>
      </c>
      <c r="D12" s="17" t="s">
        <v>1834</v>
      </c>
    </row>
    <row r="13" spans="1:4" ht="75" customHeight="1">
      <c r="A13" s="31">
        <v>9</v>
      </c>
      <c r="B13" s="17" t="s">
        <v>1835</v>
      </c>
      <c r="C13" s="17" t="s">
        <v>1836</v>
      </c>
      <c r="D13" s="17" t="s">
        <v>1837</v>
      </c>
    </row>
    <row r="14" spans="1:4" ht="75" customHeight="1">
      <c r="A14" s="31">
        <v>10</v>
      </c>
      <c r="B14" s="17" t="s">
        <v>1838</v>
      </c>
      <c r="C14" s="15" t="s">
        <v>1839</v>
      </c>
      <c r="D14" s="17" t="s">
        <v>1840</v>
      </c>
    </row>
    <row r="16" spans="1:4" ht="24.75" customHeight="1">
      <c r="A16" s="72" t="s">
        <v>1841</v>
      </c>
      <c r="B16" s="72"/>
      <c r="C16" s="72"/>
      <c r="D16" s="72"/>
    </row>
    <row r="17" spans="1:4" ht="34.5" customHeight="1">
      <c r="A17" s="73" t="s">
        <v>1842</v>
      </c>
      <c r="B17" s="73"/>
      <c r="C17" s="73"/>
      <c r="D17" s="73"/>
    </row>
    <row r="18" spans="1:4" ht="34.5" customHeight="1">
      <c r="A18" s="73" t="s">
        <v>1843</v>
      </c>
      <c r="B18" s="73"/>
      <c r="C18" s="73"/>
      <c r="D18" s="73"/>
    </row>
    <row r="19" spans="1:4" ht="34.5" customHeight="1">
      <c r="A19" s="73" t="s">
        <v>1844</v>
      </c>
      <c r="B19" s="73"/>
      <c r="C19" s="73"/>
      <c r="D19" s="73"/>
    </row>
    <row r="20" spans="1:4" ht="34.5" customHeight="1">
      <c r="A20" s="73" t="s">
        <v>1845</v>
      </c>
      <c r="B20" s="73"/>
      <c r="C20" s="73"/>
      <c r="D20" s="73"/>
    </row>
    <row r="21" spans="1:4" ht="34.5" customHeight="1">
      <c r="A21" s="73" t="s">
        <v>1846</v>
      </c>
      <c r="B21" s="73"/>
      <c r="C21" s="73"/>
      <c r="D21" s="73"/>
    </row>
    <row r="22" spans="1:4" ht="34.5" customHeight="1">
      <c r="A22" s="73" t="s">
        <v>1847</v>
      </c>
      <c r="B22" s="73"/>
      <c r="C22" s="73"/>
      <c r="D22" s="73"/>
    </row>
    <row r="23" spans="1:4" ht="34.5" customHeight="1">
      <c r="A23" s="73" t="s">
        <v>1848</v>
      </c>
      <c r="B23" s="73"/>
      <c r="C23" s="73"/>
      <c r="D23" s="73"/>
    </row>
    <row r="25" spans="1:4" ht="45.75" customHeight="1">
      <c r="A25" s="74" t="s">
        <v>1849</v>
      </c>
      <c r="B25" s="74"/>
      <c r="C25" s="74"/>
      <c r="D25" s="74"/>
    </row>
  </sheetData>
  <mergeCells count="11">
    <mergeCell ref="A25:D25"/>
    <mergeCell ref="A19:D19"/>
    <mergeCell ref="A20:D20"/>
    <mergeCell ref="A21:D21"/>
    <mergeCell ref="A22:D22"/>
    <mergeCell ref="A23:D23"/>
    <mergeCell ref="A1:D1"/>
    <mergeCell ref="A2:D2"/>
    <mergeCell ref="A16:D16"/>
    <mergeCell ref="A17:D17"/>
    <mergeCell ref="A18:D18"/>
  </mergeCells>
  <phoneticPr fontId="33"/>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3"/>
  <sheetViews>
    <sheetView zoomScaleNormal="100" workbookViewId="0">
      <pane ySplit="8" topLeftCell="A9" activePane="bottomLeft" state="frozen"/>
      <selection pane="bottomLeft" sqref="A1:F1"/>
    </sheetView>
  </sheetViews>
  <sheetFormatPr defaultColWidth="8.7109375" defaultRowHeight="15"/>
  <cols>
    <col min="1" max="1" width="22" customWidth="1"/>
    <col min="2" max="2" width="20" customWidth="1"/>
    <col min="3" max="3" width="18" customWidth="1"/>
    <col min="4" max="4" width="22" customWidth="1"/>
    <col min="5" max="5" width="40" customWidth="1"/>
    <col min="6" max="6" width="12" customWidth="1"/>
  </cols>
  <sheetData>
    <row r="1" spans="1:6" ht="17.25" customHeight="1">
      <c r="A1" s="64" t="s">
        <v>1850</v>
      </c>
      <c r="B1" s="64"/>
      <c r="C1" s="64"/>
      <c r="D1" s="64"/>
      <c r="E1" s="64"/>
      <c r="F1" s="64"/>
    </row>
    <row r="2" spans="1:6" ht="30" customHeight="1">
      <c r="A2" s="75" t="s">
        <v>1851</v>
      </c>
      <c r="B2" s="75"/>
      <c r="C2" s="75"/>
      <c r="D2" s="75"/>
      <c r="E2" s="75"/>
      <c r="F2" s="75"/>
    </row>
    <row r="4" spans="1:6" ht="24.75" customHeight="1">
      <c r="A4" s="76" t="s">
        <v>1852</v>
      </c>
      <c r="B4" s="76"/>
      <c r="C4" s="76"/>
      <c r="D4" s="76"/>
      <c r="E4" s="76"/>
      <c r="F4" s="76"/>
    </row>
    <row r="5" spans="1:6" ht="60" customHeight="1">
      <c r="A5" s="77" t="s">
        <v>1853</v>
      </c>
      <c r="B5" s="77"/>
      <c r="C5" s="77"/>
      <c r="D5" s="77"/>
      <c r="E5" s="77"/>
      <c r="F5" s="77"/>
    </row>
    <row r="7" spans="1:6" ht="24.75" customHeight="1">
      <c r="A7" s="78" t="s">
        <v>1854</v>
      </c>
      <c r="B7" s="78"/>
      <c r="C7" s="78"/>
      <c r="D7" s="78"/>
      <c r="E7" s="78"/>
      <c r="F7" s="78"/>
    </row>
    <row r="8" spans="1:6" ht="30" customHeight="1">
      <c r="A8" s="14" t="s">
        <v>57</v>
      </c>
      <c r="B8" s="14" t="s">
        <v>60</v>
      </c>
      <c r="C8" s="14" t="s">
        <v>1855</v>
      </c>
      <c r="D8" s="14" t="s">
        <v>1856</v>
      </c>
      <c r="E8" s="14" t="s">
        <v>1857</v>
      </c>
      <c r="F8" s="14" t="s">
        <v>1858</v>
      </c>
    </row>
    <row r="9" spans="1:6" ht="69.75" customHeight="1">
      <c r="A9" s="53" t="str">
        <f>HYPERLINK("https://www.jfc.go.jp/n/finance/search/07_keieisien_m.html","セーフティネット貸付
（経営環境変化対応資金）")</f>
        <v>セーフティネット貸付
（経営環境変化対応資金）</v>
      </c>
      <c r="B9" s="17" t="s">
        <v>437</v>
      </c>
      <c r="C9" s="17" t="s">
        <v>1859</v>
      </c>
      <c r="D9" s="17" t="s">
        <v>1860</v>
      </c>
      <c r="E9" s="17" t="s">
        <v>1861</v>
      </c>
      <c r="F9" s="54" t="s">
        <v>1862</v>
      </c>
    </row>
    <row r="10" spans="1:6" ht="69.75" customHeight="1">
      <c r="A10" s="53" t="str">
        <f>HYPERLINK("https://www.chusho.meti.go.jp/keiei/antei/kokusai_josei/index.html","特別相談窓口")</f>
        <v>特別相談窓口</v>
      </c>
      <c r="B10" s="17" t="s">
        <v>1863</v>
      </c>
      <c r="C10" s="17" t="s">
        <v>1864</v>
      </c>
      <c r="D10" s="17" t="s">
        <v>332</v>
      </c>
      <c r="E10" s="17" t="s">
        <v>1865</v>
      </c>
      <c r="F10" s="54" t="s">
        <v>89</v>
      </c>
    </row>
    <row r="11" spans="1:6" ht="69.75" customHeight="1">
      <c r="A11" s="53" t="str">
        <f>HYPERLINK("https://www.shinkin.co.jp/seibu/business/loan/middle_east_loan.html","民間金融機関
中東情勢対応ローン")</f>
        <v>民間金融機関
中東情勢対応ローン</v>
      </c>
      <c r="B11" s="17" t="s">
        <v>1866</v>
      </c>
      <c r="C11" s="17" t="s">
        <v>1867</v>
      </c>
      <c r="D11" s="17" t="s">
        <v>1868</v>
      </c>
      <c r="E11" s="17" t="s">
        <v>1869</v>
      </c>
      <c r="F11" s="54" t="s">
        <v>89</v>
      </c>
    </row>
    <row r="12" spans="1:6" ht="69.75" customHeight="1">
      <c r="A12" s="53" t="str">
        <f>HYPERLINK("https://www.jfc.go.jp/n/finance/search/06_torihikikigyou_m.html","取引企業倒産対応資金")</f>
        <v>取引企業倒産対応資金</v>
      </c>
      <c r="B12" s="17" t="s">
        <v>437</v>
      </c>
      <c r="C12" s="17" t="s">
        <v>1870</v>
      </c>
      <c r="D12" s="17" t="s">
        <v>1871</v>
      </c>
      <c r="E12" s="17" t="s">
        <v>1872</v>
      </c>
      <c r="F12" s="55" t="s">
        <v>102</v>
      </c>
    </row>
    <row r="13" spans="1:6" ht="69.75" customHeight="1">
      <c r="A13" s="53" t="str">
        <f>HYPERLINK("https://www.chusho.meti.go.jp/kinyu/sefu_net_gaiyou.html","モニタリング強化型
保証制度")</f>
        <v>モニタリング強化型
保証制度</v>
      </c>
      <c r="B13" s="17" t="s">
        <v>1873</v>
      </c>
      <c r="C13" s="17" t="s">
        <v>1874</v>
      </c>
      <c r="D13" s="17" t="s">
        <v>1875</v>
      </c>
      <c r="E13" s="17" t="s">
        <v>1876</v>
      </c>
      <c r="F13" s="55" t="s">
        <v>102</v>
      </c>
    </row>
    <row r="14" spans="1:6" ht="69.75" customHeight="1">
      <c r="A14" s="53" t="str">
        <f>HYPERLINK("https://www.chusho.meti.go.jp/kinyu/sefu_net_5gou.html","セーフティネット保証5号")</f>
        <v>セーフティネット保証5号</v>
      </c>
      <c r="B14" s="17" t="s">
        <v>1877</v>
      </c>
      <c r="C14" s="17" t="s">
        <v>1878</v>
      </c>
      <c r="D14" s="17" t="s">
        <v>1879</v>
      </c>
      <c r="E14" s="17" t="s">
        <v>1880</v>
      </c>
      <c r="F14" s="55" t="s">
        <v>102</v>
      </c>
    </row>
    <row r="15" spans="1:6" ht="69.75" customHeight="1">
      <c r="A15" s="53" t="str">
        <f>HYPERLINK("https://www.chusho.meti.go.jp/kinyu/sefu_net_4gou.htm","セーフティネット保証4号")</f>
        <v>セーフティネット保証4号</v>
      </c>
      <c r="B15" s="17" t="s">
        <v>1877</v>
      </c>
      <c r="C15" s="17" t="s">
        <v>1881</v>
      </c>
      <c r="D15" s="17" t="s">
        <v>1879</v>
      </c>
      <c r="E15" s="17" t="s">
        <v>1882</v>
      </c>
      <c r="F15" s="55" t="s">
        <v>102</v>
      </c>
    </row>
    <row r="17" spans="1:6" ht="24.75" customHeight="1">
      <c r="A17" s="79" t="s">
        <v>1883</v>
      </c>
      <c r="B17" s="79"/>
      <c r="C17" s="79"/>
      <c r="D17" s="79"/>
      <c r="E17" s="79"/>
      <c r="F17" s="79"/>
    </row>
    <row r="18" spans="1:6" ht="24" customHeight="1">
      <c r="A18" s="80" t="s">
        <v>1884</v>
      </c>
      <c r="B18" s="80"/>
      <c r="C18" s="80"/>
      <c r="D18" s="80"/>
      <c r="E18" s="80"/>
      <c r="F18" s="80"/>
    </row>
    <row r="19" spans="1:6" ht="24" customHeight="1">
      <c r="A19" s="80" t="s">
        <v>1885</v>
      </c>
      <c r="B19" s="80"/>
      <c r="C19" s="80"/>
      <c r="D19" s="80"/>
      <c r="E19" s="80"/>
      <c r="F19" s="80"/>
    </row>
    <row r="20" spans="1:6" ht="24" customHeight="1">
      <c r="A20" s="80" t="s">
        <v>1886</v>
      </c>
      <c r="B20" s="80"/>
      <c r="C20" s="80"/>
      <c r="D20" s="80"/>
      <c r="E20" s="80"/>
      <c r="F20" s="80"/>
    </row>
    <row r="21" spans="1:6" ht="24" customHeight="1">
      <c r="A21" s="80" t="s">
        <v>1887</v>
      </c>
      <c r="B21" s="80"/>
      <c r="C21" s="80"/>
      <c r="D21" s="80"/>
      <c r="E21" s="80"/>
      <c r="F21" s="80"/>
    </row>
    <row r="22" spans="1:6" ht="24" customHeight="1">
      <c r="A22" s="80" t="s">
        <v>1888</v>
      </c>
      <c r="B22" s="80"/>
      <c r="C22" s="80"/>
      <c r="D22" s="80"/>
      <c r="E22" s="80"/>
      <c r="F22" s="80"/>
    </row>
    <row r="23" spans="1:6" ht="24" customHeight="1">
      <c r="A23" s="80" t="s">
        <v>1889</v>
      </c>
      <c r="B23" s="80"/>
      <c r="C23" s="80"/>
      <c r="D23" s="80"/>
      <c r="E23" s="80"/>
      <c r="F23" s="80"/>
    </row>
    <row r="25" spans="1:6" ht="24.75" customHeight="1">
      <c r="A25" s="81" t="s">
        <v>1890</v>
      </c>
      <c r="B25" s="81"/>
      <c r="C25" s="81"/>
      <c r="D25" s="81"/>
      <c r="E25" s="81"/>
      <c r="F25" s="81"/>
    </row>
    <row r="26" spans="1:6" ht="27.75" customHeight="1">
      <c r="A26" s="57" t="s">
        <v>1891</v>
      </c>
      <c r="B26" s="57"/>
      <c r="C26" s="57"/>
      <c r="D26" s="57"/>
      <c r="E26" s="57"/>
      <c r="F26" s="57"/>
    </row>
    <row r="27" spans="1:6" ht="27.75" customHeight="1">
      <c r="A27" s="57" t="s">
        <v>1892</v>
      </c>
      <c r="B27" s="57"/>
      <c r="C27" s="57"/>
      <c r="D27" s="57"/>
      <c r="E27" s="57"/>
      <c r="F27" s="57"/>
    </row>
    <row r="28" spans="1:6" ht="27.75" customHeight="1">
      <c r="A28" s="57" t="s">
        <v>1893</v>
      </c>
      <c r="B28" s="57"/>
      <c r="C28" s="57"/>
      <c r="D28" s="57"/>
      <c r="E28" s="57"/>
      <c r="F28" s="57"/>
    </row>
    <row r="29" spans="1:6" ht="27.75" customHeight="1">
      <c r="A29" s="57" t="s">
        <v>1894</v>
      </c>
      <c r="B29" s="57"/>
      <c r="C29" s="57"/>
      <c r="D29" s="57"/>
      <c r="E29" s="57"/>
      <c r="F29" s="57"/>
    </row>
    <row r="30" spans="1:6" ht="27.75" customHeight="1">
      <c r="A30" s="57" t="s">
        <v>1895</v>
      </c>
      <c r="B30" s="57"/>
      <c r="C30" s="57"/>
      <c r="D30" s="57"/>
      <c r="E30" s="57"/>
      <c r="F30" s="57"/>
    </row>
    <row r="32" spans="1:6" ht="24.75" customHeight="1">
      <c r="A32" s="82" t="s">
        <v>1896</v>
      </c>
      <c r="B32" s="82"/>
      <c r="C32" s="82"/>
      <c r="D32" s="82"/>
      <c r="E32" s="82"/>
      <c r="F32" s="82"/>
    </row>
    <row r="33" spans="1:6" ht="24" customHeight="1">
      <c r="A33" s="30" t="s">
        <v>57</v>
      </c>
      <c r="B33" s="83" t="s">
        <v>1897</v>
      </c>
      <c r="C33" s="83"/>
      <c r="D33" s="30" t="s">
        <v>1898</v>
      </c>
      <c r="E33" s="83" t="s">
        <v>1899</v>
      </c>
      <c r="F33" s="83"/>
    </row>
    <row r="34" spans="1:6" ht="69.75" customHeight="1">
      <c r="A34" s="53" t="str">
        <f>HYPERLINK("https://www.mhlw.go.jp/stf/seisakunitsuite/bunya/koyou_roudou/koyou/kyufukin/pageL07.html","雇用調整助成金")</f>
        <v>雇用調整助成金</v>
      </c>
      <c r="B34" s="61" t="s">
        <v>1900</v>
      </c>
      <c r="C34" s="61"/>
      <c r="D34" s="15" t="s">
        <v>1901</v>
      </c>
      <c r="E34" s="61" t="s">
        <v>1902</v>
      </c>
      <c r="F34" s="61"/>
    </row>
    <row r="35" spans="1:6" ht="69.75" customHeight="1">
      <c r="A35" s="53" t="str">
        <f>HYPERLINK("https://www.johas.go.jp/tatekae/tabid/177/Default.aspx","未払賃金立替払制度")</f>
        <v>未払賃金立替払制度</v>
      </c>
      <c r="B35" s="61" t="s">
        <v>1903</v>
      </c>
      <c r="C35" s="61"/>
      <c r="D35" s="17" t="s">
        <v>1904</v>
      </c>
      <c r="E35" s="61" t="s">
        <v>1905</v>
      </c>
      <c r="F35" s="61"/>
    </row>
    <row r="37" spans="1:6" ht="24.75" customHeight="1">
      <c r="A37" s="84" t="s">
        <v>1906</v>
      </c>
      <c r="B37" s="84"/>
      <c r="C37" s="84"/>
      <c r="D37" s="84"/>
      <c r="E37" s="84"/>
      <c r="F37" s="84"/>
    </row>
    <row r="38" spans="1:6" ht="54.75" customHeight="1">
      <c r="A38" s="77" t="s">
        <v>1907</v>
      </c>
      <c r="B38" s="77"/>
      <c r="C38" s="77"/>
      <c r="D38" s="77"/>
      <c r="E38" s="77"/>
      <c r="F38" s="77"/>
    </row>
    <row r="39" spans="1:6" ht="24" customHeight="1">
      <c r="A39" s="85" t="str">
        <f>HYPERLINK("https://www.enecho.meti.go.jp/category/resources_and_fuel/distribution/hogeki/","▶ 燃料油価格激変緩和措置 公式ページ（資源エネルギー庁）")</f>
        <v>▶ 燃料油価格激変緩和措置 公式ページ（資源エネルギー庁）</v>
      </c>
      <c r="B39" s="85"/>
      <c r="C39" s="85"/>
      <c r="D39" s="85"/>
      <c r="E39" s="85"/>
      <c r="F39" s="85"/>
    </row>
    <row r="41" spans="1:6" ht="24.75" customHeight="1">
      <c r="A41" s="79" t="s">
        <v>1908</v>
      </c>
      <c r="B41" s="79"/>
      <c r="C41" s="79"/>
      <c r="D41" s="79"/>
      <c r="E41" s="79"/>
      <c r="F41" s="79"/>
    </row>
    <row r="42" spans="1:6" ht="24" customHeight="1">
      <c r="A42" s="30" t="s">
        <v>57</v>
      </c>
      <c r="B42" s="83" t="s">
        <v>60</v>
      </c>
      <c r="C42" s="83"/>
      <c r="D42" s="83" t="s">
        <v>1909</v>
      </c>
      <c r="E42" s="83"/>
      <c r="F42" s="83"/>
    </row>
    <row r="43" spans="1:6" ht="30" customHeight="1">
      <c r="A43" s="17" t="s">
        <v>1910</v>
      </c>
      <c r="B43" s="77" t="s">
        <v>437</v>
      </c>
      <c r="C43" s="77"/>
      <c r="D43" s="86" t="str">
        <f>HYPERLINK("https://www.jfc.go.jp/n/finance/search/07_keieisien_m.html","https://www.jfc.go.jp/n/finance/search/07_keieisien_m.html")</f>
        <v>https://www.jfc.go.jp/n/finance/search/07_keieisien_m.html</v>
      </c>
      <c r="E43" s="86"/>
      <c r="F43" s="86"/>
    </row>
    <row r="44" spans="1:6" ht="30" customHeight="1">
      <c r="A44" s="17" t="s">
        <v>1911</v>
      </c>
      <c r="B44" s="77" t="s">
        <v>399</v>
      </c>
      <c r="C44" s="77"/>
      <c r="D44" s="86" t="str">
        <f>HYPERLINK("https://www.chusho.meti.go.jp/keiei/antei/kokusai_josei/index.html","https://www.chusho.meti.go.jp/keiei/antei/kokusai_josei/index.html")</f>
        <v>https://www.chusho.meti.go.jp/keiei/antei/kokusai_josei/index.html</v>
      </c>
      <c r="E44" s="86"/>
      <c r="F44" s="86"/>
    </row>
    <row r="45" spans="1:6" ht="30" customHeight="1">
      <c r="A45" s="17" t="s">
        <v>1912</v>
      </c>
      <c r="B45" s="77" t="s">
        <v>1866</v>
      </c>
      <c r="C45" s="77"/>
      <c r="D45" s="86" t="str">
        <f>HYPERLINK("https://www.shinkin.co.jp/seibu/business/loan/middle_east_loan.html","https://www.shinkin.co.jp/seibu/business/loan/middle_east_loan.html")</f>
        <v>https://www.shinkin.co.jp/seibu/business/loan/middle_east_loan.html</v>
      </c>
      <c r="E45" s="86"/>
      <c r="F45" s="86"/>
    </row>
    <row r="46" spans="1:6" ht="30" customHeight="1">
      <c r="A46" s="17" t="s">
        <v>1913</v>
      </c>
      <c r="B46" s="77" t="s">
        <v>437</v>
      </c>
      <c r="C46" s="77"/>
      <c r="D46" s="86" t="str">
        <f>HYPERLINK("https://www.jfc.go.jp/n/finance/search/06_torihikikigyou_m.html","https://www.jfc.go.jp/n/finance/search/06_torihikikigyou_m.html")</f>
        <v>https://www.jfc.go.jp/n/finance/search/06_torihikikigyou_m.html</v>
      </c>
      <c r="E46" s="86"/>
      <c r="F46" s="86"/>
    </row>
    <row r="47" spans="1:6" ht="30" customHeight="1">
      <c r="A47" s="17" t="s">
        <v>1914</v>
      </c>
      <c r="B47" s="77" t="s">
        <v>399</v>
      </c>
      <c r="C47" s="77"/>
      <c r="D47" s="86" t="str">
        <f>HYPERLINK("https://www.chusho.meti.go.jp/kinyu/sefu_net_gaiyou.html","https://www.chusho.meti.go.jp/kinyu/sefu_net_gaiyou.html")</f>
        <v>https://www.chusho.meti.go.jp/kinyu/sefu_net_gaiyou.html</v>
      </c>
      <c r="E47" s="86"/>
      <c r="F47" s="86"/>
    </row>
    <row r="48" spans="1:6" ht="30" customHeight="1">
      <c r="A48" s="17" t="s">
        <v>1915</v>
      </c>
      <c r="B48" s="77" t="s">
        <v>399</v>
      </c>
      <c r="C48" s="77"/>
      <c r="D48" s="86" t="str">
        <f>HYPERLINK("https://www.chusho.meti.go.jp/kinyu/sefu_net_5gou.html","https://www.chusho.meti.go.jp/kinyu/sefu_net_5gou.html")</f>
        <v>https://www.chusho.meti.go.jp/kinyu/sefu_net_5gou.html</v>
      </c>
      <c r="E48" s="86"/>
      <c r="F48" s="86"/>
    </row>
    <row r="49" spans="1:6" ht="30" customHeight="1">
      <c r="A49" s="17" t="s">
        <v>1916</v>
      </c>
      <c r="B49" s="77" t="s">
        <v>399</v>
      </c>
      <c r="C49" s="77"/>
      <c r="D49" s="86" t="str">
        <f>HYPERLINK("https://www.chusho.meti.go.jp/kinyu/sefu_net_4gou.htm","https://www.chusho.meti.go.jp/kinyu/sefu_net_4gou.htm")</f>
        <v>https://www.chusho.meti.go.jp/kinyu/sefu_net_4gou.htm</v>
      </c>
      <c r="E49" s="86"/>
      <c r="F49" s="86"/>
    </row>
    <row r="50" spans="1:6" ht="30" customHeight="1">
      <c r="A50" s="17" t="s">
        <v>1917</v>
      </c>
      <c r="B50" s="77" t="s">
        <v>399</v>
      </c>
      <c r="C50" s="77"/>
      <c r="D50" s="86" t="str">
        <f>HYPERLINK("https://www.chusho.meti.go.jp/kinyu/kinyu_taisaku.html","https://www.chusho.meti.go.jp/kinyu/kinyu_taisaku.html")</f>
        <v>https://www.chusho.meti.go.jp/kinyu/kinyu_taisaku.html</v>
      </c>
      <c r="E50" s="86"/>
      <c r="F50" s="86"/>
    </row>
    <row r="51" spans="1:6" ht="30" customHeight="1">
      <c r="A51" s="17" t="s">
        <v>161</v>
      </c>
      <c r="B51" s="77" t="s">
        <v>134</v>
      </c>
      <c r="C51" s="77"/>
      <c r="D51" s="86" t="str">
        <f>HYPERLINK("https://www.mhlw.go.jp/stf/seisakunitsuite/bunya/koyou_roudou/koyou/kyufukin/pageL07.html","https://www.mhlw.go.jp/stf/seisakunitsuite/bunya/koyou_roudou/koyou/kyufukin/pageL07.html")</f>
        <v>https://www.mhlw.go.jp/stf/seisakunitsuite/bunya/koyou_roudou/koyou/kyufukin/pageL07.html</v>
      </c>
      <c r="E51" s="86"/>
      <c r="F51" s="86"/>
    </row>
    <row r="52" spans="1:6" ht="30" customHeight="1">
      <c r="A52" s="17" t="s">
        <v>1918</v>
      </c>
      <c r="B52" s="77" t="s">
        <v>1919</v>
      </c>
      <c r="C52" s="77"/>
      <c r="D52" s="86" t="str">
        <f>HYPERLINK("https://www.johas.go.jp/tatekae/tabid/177/Default.aspx","https://www.johas.go.jp/tatekae/tabid/177/Default.aspx")</f>
        <v>https://www.johas.go.jp/tatekae/tabid/177/Default.aspx</v>
      </c>
      <c r="E52" s="86"/>
      <c r="F52" s="86"/>
    </row>
    <row r="53" spans="1:6" ht="30" customHeight="1">
      <c r="A53" s="17" t="s">
        <v>1920</v>
      </c>
      <c r="B53" s="77" t="s">
        <v>1921</v>
      </c>
      <c r="C53" s="77"/>
      <c r="D53" s="86" t="str">
        <f>HYPERLINK("https://www.enecho.meti.go.jp/category/resources_and_fuel/distribution/hogeki/","https://www.enecho.meti.go.jp/category/resources_and_fuel/distribution/hogeki/")</f>
        <v>https://www.enecho.meti.go.jp/category/resources_and_fuel/distribution/hogeki/</v>
      </c>
      <c r="E53" s="86"/>
      <c r="F53" s="86"/>
    </row>
  </sheetData>
  <mergeCells count="53">
    <mergeCell ref="B52:C52"/>
    <mergeCell ref="D52:F52"/>
    <mergeCell ref="B53:C53"/>
    <mergeCell ref="D53:F53"/>
    <mergeCell ref="B49:C49"/>
    <mergeCell ref="D49:F49"/>
    <mergeCell ref="B50:C50"/>
    <mergeCell ref="D50:F50"/>
    <mergeCell ref="B51:C51"/>
    <mergeCell ref="D51:F51"/>
    <mergeCell ref="B46:C46"/>
    <mergeCell ref="D46:F46"/>
    <mergeCell ref="B47:C47"/>
    <mergeCell ref="D47:F47"/>
    <mergeCell ref="B48:C48"/>
    <mergeCell ref="D48:F48"/>
    <mergeCell ref="B43:C43"/>
    <mergeCell ref="D43:F43"/>
    <mergeCell ref="B44:C44"/>
    <mergeCell ref="D44:F44"/>
    <mergeCell ref="B45:C45"/>
    <mergeCell ref="D45:F45"/>
    <mergeCell ref="A38:F38"/>
    <mergeCell ref="A39:F39"/>
    <mergeCell ref="A41:F41"/>
    <mergeCell ref="B42:C42"/>
    <mergeCell ref="D42:F42"/>
    <mergeCell ref="B34:C34"/>
    <mergeCell ref="E34:F34"/>
    <mergeCell ref="B35:C35"/>
    <mergeCell ref="E35:F35"/>
    <mergeCell ref="A37:F37"/>
    <mergeCell ref="A28:F28"/>
    <mergeCell ref="A29:F29"/>
    <mergeCell ref="A30:F30"/>
    <mergeCell ref="A32:F32"/>
    <mergeCell ref="B33:C33"/>
    <mergeCell ref="E33:F33"/>
    <mergeCell ref="A22:F22"/>
    <mergeCell ref="A23:F23"/>
    <mergeCell ref="A25:F25"/>
    <mergeCell ref="A26:F26"/>
    <mergeCell ref="A27:F27"/>
    <mergeCell ref="A17:F17"/>
    <mergeCell ref="A18:F18"/>
    <mergeCell ref="A19:F19"/>
    <mergeCell ref="A20:F20"/>
    <mergeCell ref="A21:F21"/>
    <mergeCell ref="A1:F1"/>
    <mergeCell ref="A2:F2"/>
    <mergeCell ref="A4:F4"/>
    <mergeCell ref="A5:F5"/>
    <mergeCell ref="A7:F7"/>
  </mergeCells>
  <phoneticPr fontId="33"/>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9"/>
  <sheetViews>
    <sheetView zoomScaleNormal="100" workbookViewId="0">
      <pane ySplit="3" topLeftCell="A4" activePane="bottomLeft" state="frozen"/>
      <selection pane="bottomLeft" sqref="A1:G1"/>
    </sheetView>
  </sheetViews>
  <sheetFormatPr defaultColWidth="8.7109375" defaultRowHeight="15"/>
  <cols>
    <col min="1" max="1" width="16" customWidth="1"/>
    <col min="2" max="2" width="22" customWidth="1"/>
    <col min="3" max="4" width="16" customWidth="1"/>
    <col min="5" max="6" width="18" customWidth="1"/>
    <col min="7" max="7" width="16" customWidth="1"/>
  </cols>
  <sheetData>
    <row r="1" spans="1:7" ht="17.25" customHeight="1">
      <c r="A1" s="64" t="s">
        <v>1922</v>
      </c>
      <c r="B1" s="64"/>
      <c r="C1" s="64"/>
      <c r="D1" s="64"/>
      <c r="E1" s="64"/>
      <c r="F1" s="64"/>
      <c r="G1" s="64"/>
    </row>
    <row r="2" spans="1:7" ht="27.75" customHeight="1">
      <c r="A2" s="75" t="s">
        <v>1923</v>
      </c>
      <c r="B2" s="75"/>
      <c r="C2" s="75"/>
      <c r="D2" s="75"/>
      <c r="E2" s="75"/>
      <c r="F2" s="75"/>
      <c r="G2" s="75"/>
    </row>
    <row r="4" spans="1:7" ht="24.75" customHeight="1">
      <c r="A4" s="87" t="s">
        <v>1924</v>
      </c>
      <c r="B4" s="87"/>
      <c r="C4" s="87"/>
      <c r="D4" s="87"/>
      <c r="E4" s="87"/>
      <c r="F4" s="87"/>
      <c r="G4" s="87"/>
    </row>
    <row r="5" spans="1:7" ht="24" customHeight="1">
      <c r="A5" s="30" t="s">
        <v>57</v>
      </c>
      <c r="B5" s="30" t="s">
        <v>60</v>
      </c>
      <c r="C5" s="30" t="s">
        <v>1925</v>
      </c>
      <c r="D5" s="83" t="s">
        <v>1926</v>
      </c>
      <c r="E5" s="83"/>
      <c r="F5" s="83" t="s">
        <v>1927</v>
      </c>
      <c r="G5" s="83"/>
    </row>
    <row r="6" spans="1:7" ht="75" customHeight="1">
      <c r="A6" s="56" t="s">
        <v>1928</v>
      </c>
      <c r="B6" s="17" t="s">
        <v>1929</v>
      </c>
      <c r="C6" s="15" t="s">
        <v>1930</v>
      </c>
      <c r="D6" s="61" t="s">
        <v>1931</v>
      </c>
      <c r="E6" s="61"/>
      <c r="F6" s="61" t="s">
        <v>1932</v>
      </c>
      <c r="G6" s="61"/>
    </row>
    <row r="7" spans="1:7" ht="75" customHeight="1">
      <c r="A7" s="56" t="s">
        <v>1910</v>
      </c>
      <c r="B7" s="17" t="s">
        <v>437</v>
      </c>
      <c r="C7" s="17" t="s">
        <v>1933</v>
      </c>
      <c r="D7" s="61" t="s">
        <v>455</v>
      </c>
      <c r="E7" s="61"/>
      <c r="F7" s="61" t="s">
        <v>1934</v>
      </c>
      <c r="G7" s="61"/>
    </row>
    <row r="8" spans="1:7" ht="75" customHeight="1">
      <c r="A8" s="56" t="s">
        <v>1935</v>
      </c>
      <c r="B8" s="17" t="s">
        <v>1877</v>
      </c>
      <c r="C8" s="17" t="s">
        <v>1936</v>
      </c>
      <c r="D8" s="88" t="s">
        <v>1937</v>
      </c>
      <c r="E8" s="88"/>
      <c r="F8" s="61" t="s">
        <v>1938</v>
      </c>
      <c r="G8" s="61"/>
    </row>
    <row r="10" spans="1:7" ht="24.75" customHeight="1">
      <c r="A10" s="79" t="s">
        <v>1939</v>
      </c>
      <c r="B10" s="79"/>
      <c r="C10" s="79"/>
      <c r="D10" s="79"/>
      <c r="E10" s="79"/>
      <c r="F10" s="79"/>
      <c r="G10" s="79"/>
    </row>
    <row r="11" spans="1:7" ht="24" customHeight="1">
      <c r="A11" s="30" t="s">
        <v>1940</v>
      </c>
      <c r="B11" s="30" t="s">
        <v>1479</v>
      </c>
      <c r="C11" s="83" t="s">
        <v>1941</v>
      </c>
      <c r="D11" s="83"/>
      <c r="E11" s="30" t="s">
        <v>1942</v>
      </c>
      <c r="F11" s="83" t="s">
        <v>1943</v>
      </c>
      <c r="G11" s="83"/>
    </row>
    <row r="12" spans="1:7" ht="69.75" customHeight="1">
      <c r="A12" s="56" t="s">
        <v>676</v>
      </c>
      <c r="B12" s="17" t="s">
        <v>1944</v>
      </c>
      <c r="C12" s="61" t="s">
        <v>1945</v>
      </c>
      <c r="D12" s="61"/>
      <c r="E12" s="17" t="s">
        <v>1946</v>
      </c>
      <c r="F12" s="61" t="s">
        <v>1947</v>
      </c>
      <c r="G12" s="61"/>
    </row>
    <row r="13" spans="1:7" ht="69.75" customHeight="1">
      <c r="A13" s="56" t="s">
        <v>838</v>
      </c>
      <c r="B13" s="17" t="s">
        <v>1948</v>
      </c>
      <c r="C13" s="61" t="s">
        <v>1949</v>
      </c>
      <c r="D13" s="61"/>
      <c r="E13" s="17" t="s">
        <v>1950</v>
      </c>
      <c r="F13" s="61" t="s">
        <v>1951</v>
      </c>
      <c r="G13" s="61"/>
    </row>
    <row r="14" spans="1:7" ht="69.75" customHeight="1">
      <c r="A14" s="56" t="s">
        <v>853</v>
      </c>
      <c r="B14" s="17" t="s">
        <v>1952</v>
      </c>
      <c r="C14" s="61" t="s">
        <v>1953</v>
      </c>
      <c r="D14" s="61"/>
      <c r="E14" s="17" t="s">
        <v>1954</v>
      </c>
      <c r="F14" s="61" t="s">
        <v>1955</v>
      </c>
      <c r="G14" s="61"/>
    </row>
    <row r="15" spans="1:7" ht="69.75" customHeight="1">
      <c r="A15" s="56" t="s">
        <v>909</v>
      </c>
      <c r="B15" s="17" t="s">
        <v>1956</v>
      </c>
      <c r="C15" s="61" t="s">
        <v>1957</v>
      </c>
      <c r="D15" s="61"/>
      <c r="E15" s="17" t="s">
        <v>1954</v>
      </c>
      <c r="F15" s="61" t="s">
        <v>1958</v>
      </c>
      <c r="G15" s="61"/>
    </row>
    <row r="16" spans="1:7" ht="69.75" customHeight="1">
      <c r="A16" s="56" t="s">
        <v>870</v>
      </c>
      <c r="B16" s="17" t="s">
        <v>1959</v>
      </c>
      <c r="C16" s="61" t="s">
        <v>1960</v>
      </c>
      <c r="D16" s="61"/>
      <c r="E16" s="17" t="s">
        <v>1954</v>
      </c>
      <c r="F16" s="61" t="s">
        <v>1961</v>
      </c>
      <c r="G16" s="61"/>
    </row>
    <row r="17" spans="1:7" ht="69.75" customHeight="1">
      <c r="A17" s="56" t="s">
        <v>605</v>
      </c>
      <c r="B17" s="17" t="s">
        <v>1962</v>
      </c>
      <c r="C17" s="61" t="s">
        <v>1963</v>
      </c>
      <c r="D17" s="61"/>
      <c r="E17" s="15" t="s">
        <v>1964</v>
      </c>
      <c r="F17" s="61" t="s">
        <v>1965</v>
      </c>
      <c r="G17" s="61"/>
    </row>
    <row r="18" spans="1:7" ht="69.75" customHeight="1">
      <c r="A18" s="56" t="s">
        <v>893</v>
      </c>
      <c r="B18" s="17" t="s">
        <v>1966</v>
      </c>
      <c r="C18" s="61" t="s">
        <v>1967</v>
      </c>
      <c r="D18" s="61"/>
      <c r="E18" s="17" t="s">
        <v>1954</v>
      </c>
      <c r="F18" s="61" t="s">
        <v>1968</v>
      </c>
      <c r="G18" s="61"/>
    </row>
    <row r="19" spans="1:7" ht="69.75" customHeight="1">
      <c r="A19" s="56" t="s">
        <v>941</v>
      </c>
      <c r="B19" s="17" t="s">
        <v>1969</v>
      </c>
      <c r="C19" s="61" t="s">
        <v>1970</v>
      </c>
      <c r="D19" s="61"/>
      <c r="E19" s="17" t="s">
        <v>1954</v>
      </c>
      <c r="F19" s="61" t="s">
        <v>1971</v>
      </c>
      <c r="G19" s="61"/>
    </row>
    <row r="21" spans="1:7" ht="24.75" customHeight="1">
      <c r="A21" s="82" t="s">
        <v>1972</v>
      </c>
      <c r="B21" s="82"/>
      <c r="C21" s="82"/>
      <c r="D21" s="82"/>
      <c r="E21" s="82"/>
      <c r="F21" s="82"/>
      <c r="G21" s="82"/>
    </row>
    <row r="22" spans="1:7" ht="54.75" customHeight="1">
      <c r="A22" s="89" t="s">
        <v>1973</v>
      </c>
      <c r="B22" s="89"/>
      <c r="C22" s="89"/>
      <c r="D22" s="89"/>
      <c r="E22" s="89"/>
      <c r="F22" s="89"/>
      <c r="G22" s="89"/>
    </row>
    <row r="23" spans="1:7" ht="24" customHeight="1">
      <c r="A23" s="30" t="s">
        <v>1974</v>
      </c>
      <c r="B23" s="83" t="s">
        <v>1479</v>
      </c>
      <c r="C23" s="83"/>
      <c r="D23" s="83" t="s">
        <v>1975</v>
      </c>
      <c r="E23" s="83"/>
      <c r="F23" s="83"/>
      <c r="G23" s="83"/>
    </row>
    <row r="24" spans="1:7" ht="42" customHeight="1">
      <c r="A24" s="56" t="s">
        <v>1020</v>
      </c>
      <c r="B24" s="88" t="s">
        <v>1976</v>
      </c>
      <c r="C24" s="88"/>
      <c r="D24" s="61" t="s">
        <v>1977</v>
      </c>
      <c r="E24" s="61"/>
      <c r="F24" s="61"/>
      <c r="G24" s="61"/>
    </row>
    <row r="25" spans="1:7" ht="42" customHeight="1">
      <c r="A25" s="56" t="s">
        <v>1168</v>
      </c>
      <c r="B25" s="61" t="s">
        <v>1978</v>
      </c>
      <c r="C25" s="61"/>
      <c r="D25" s="61" t="s">
        <v>1979</v>
      </c>
      <c r="E25" s="61"/>
      <c r="F25" s="61"/>
      <c r="G25" s="61"/>
    </row>
    <row r="26" spans="1:7" ht="42" customHeight="1">
      <c r="A26" s="56" t="s">
        <v>989</v>
      </c>
      <c r="B26" s="61" t="s">
        <v>1980</v>
      </c>
      <c r="C26" s="61"/>
      <c r="D26" s="61" t="s">
        <v>1981</v>
      </c>
      <c r="E26" s="61"/>
      <c r="F26" s="61"/>
      <c r="G26" s="61"/>
    </row>
    <row r="27" spans="1:7" ht="42" customHeight="1">
      <c r="A27" s="56" t="s">
        <v>1070</v>
      </c>
      <c r="B27" s="61" t="s">
        <v>1982</v>
      </c>
      <c r="C27" s="61"/>
      <c r="D27" s="61" t="s">
        <v>1983</v>
      </c>
      <c r="E27" s="61"/>
      <c r="F27" s="61"/>
      <c r="G27" s="61"/>
    </row>
    <row r="28" spans="1:7" ht="42" customHeight="1">
      <c r="A28" s="56" t="s">
        <v>1027</v>
      </c>
      <c r="B28" s="88" t="s">
        <v>1984</v>
      </c>
      <c r="C28" s="88"/>
      <c r="D28" s="61" t="s">
        <v>1985</v>
      </c>
      <c r="E28" s="61"/>
      <c r="F28" s="61"/>
      <c r="G28" s="61"/>
    </row>
    <row r="29" spans="1:7" ht="42" customHeight="1">
      <c r="A29" s="56" t="s">
        <v>1033</v>
      </c>
      <c r="B29" s="88" t="s">
        <v>1986</v>
      </c>
      <c r="C29" s="88"/>
      <c r="D29" s="61" t="s">
        <v>1987</v>
      </c>
      <c r="E29" s="61"/>
      <c r="F29" s="61"/>
      <c r="G29" s="61"/>
    </row>
    <row r="30" spans="1:7" ht="42" customHeight="1">
      <c r="A30" s="56" t="s">
        <v>1042</v>
      </c>
      <c r="B30" s="88" t="s">
        <v>1988</v>
      </c>
      <c r="C30" s="88"/>
      <c r="D30" s="61" t="s">
        <v>1989</v>
      </c>
      <c r="E30" s="61"/>
      <c r="F30" s="61"/>
      <c r="G30" s="61"/>
    </row>
    <row r="31" spans="1:7" ht="42" customHeight="1">
      <c r="A31" s="56" t="s">
        <v>1048</v>
      </c>
      <c r="B31" s="61" t="s">
        <v>1990</v>
      </c>
      <c r="C31" s="61"/>
      <c r="D31" s="61" t="s">
        <v>1991</v>
      </c>
      <c r="E31" s="61"/>
      <c r="F31" s="61"/>
      <c r="G31" s="61"/>
    </row>
    <row r="32" spans="1:7" ht="42" customHeight="1">
      <c r="A32" s="56" t="s">
        <v>1054</v>
      </c>
      <c r="B32" s="61" t="s">
        <v>1992</v>
      </c>
      <c r="C32" s="61"/>
      <c r="D32" s="61" t="s">
        <v>1993</v>
      </c>
      <c r="E32" s="61"/>
      <c r="F32" s="61"/>
      <c r="G32" s="61"/>
    </row>
    <row r="33" spans="1:7" ht="42" customHeight="1">
      <c r="A33" s="56" t="s">
        <v>1077</v>
      </c>
      <c r="B33" s="61" t="s">
        <v>1994</v>
      </c>
      <c r="C33" s="61"/>
      <c r="D33" s="61" t="s">
        <v>1995</v>
      </c>
      <c r="E33" s="61"/>
      <c r="F33" s="61"/>
      <c r="G33" s="61"/>
    </row>
    <row r="35" spans="1:7" ht="24.75" customHeight="1">
      <c r="A35" s="84" t="s">
        <v>1996</v>
      </c>
      <c r="B35" s="84"/>
      <c r="C35" s="84"/>
      <c r="D35" s="84"/>
      <c r="E35" s="84"/>
      <c r="F35" s="84"/>
      <c r="G35" s="84"/>
    </row>
    <row r="36" spans="1:7" ht="37.5" customHeight="1">
      <c r="A36" s="56" t="s">
        <v>1997</v>
      </c>
      <c r="B36" s="61" t="s">
        <v>1998</v>
      </c>
      <c r="C36" s="61"/>
      <c r="D36" s="61"/>
      <c r="E36" s="61"/>
      <c r="F36" s="61"/>
      <c r="G36" s="61"/>
    </row>
    <row r="37" spans="1:7" ht="37.5" customHeight="1">
      <c r="A37" s="56" t="s">
        <v>1999</v>
      </c>
      <c r="B37" s="61" t="s">
        <v>2000</v>
      </c>
      <c r="C37" s="61"/>
      <c r="D37" s="61"/>
      <c r="E37" s="61"/>
      <c r="F37" s="61"/>
      <c r="G37" s="61"/>
    </row>
    <row r="38" spans="1:7" ht="37.5" customHeight="1">
      <c r="A38" s="56" t="s">
        <v>2001</v>
      </c>
      <c r="B38" s="61" t="s">
        <v>2002</v>
      </c>
      <c r="C38" s="61"/>
      <c r="D38" s="61"/>
      <c r="E38" s="61"/>
      <c r="F38" s="61"/>
      <c r="G38" s="61"/>
    </row>
    <row r="39" spans="1:7" ht="37.5" customHeight="1">
      <c r="A39" s="56" t="s">
        <v>2003</v>
      </c>
      <c r="B39" s="61" t="s">
        <v>2004</v>
      </c>
      <c r="C39" s="61"/>
      <c r="D39" s="61"/>
      <c r="E39" s="61"/>
      <c r="F39" s="61"/>
      <c r="G39" s="61"/>
    </row>
    <row r="40" spans="1:7" ht="37.5" customHeight="1">
      <c r="A40" s="56" t="s">
        <v>2005</v>
      </c>
      <c r="B40" s="61" t="s">
        <v>2006</v>
      </c>
      <c r="C40" s="61"/>
      <c r="D40" s="61"/>
      <c r="E40" s="61"/>
      <c r="F40" s="61"/>
      <c r="G40" s="61"/>
    </row>
    <row r="41" spans="1:7" ht="37.5" customHeight="1">
      <c r="A41" s="56" t="s">
        <v>2007</v>
      </c>
      <c r="B41" s="61" t="s">
        <v>2008</v>
      </c>
      <c r="C41" s="61"/>
      <c r="D41" s="61"/>
      <c r="E41" s="61"/>
      <c r="F41" s="61"/>
      <c r="G41" s="61"/>
    </row>
    <row r="42" spans="1:7" ht="37.5" customHeight="1">
      <c r="A42" s="56" t="s">
        <v>2009</v>
      </c>
      <c r="B42" s="61" t="s">
        <v>2010</v>
      </c>
      <c r="C42" s="61"/>
      <c r="D42" s="61"/>
      <c r="E42" s="61"/>
      <c r="F42" s="61"/>
      <c r="G42" s="61"/>
    </row>
    <row r="43" spans="1:7" ht="37.5" customHeight="1">
      <c r="A43" s="56" t="s">
        <v>2011</v>
      </c>
      <c r="B43" s="61" t="s">
        <v>2012</v>
      </c>
      <c r="C43" s="61"/>
      <c r="D43" s="61"/>
      <c r="E43" s="61"/>
      <c r="F43" s="61"/>
      <c r="G43" s="61"/>
    </row>
    <row r="44" spans="1:7" ht="37.5" customHeight="1">
      <c r="A44" s="56" t="s">
        <v>2013</v>
      </c>
      <c r="B44" s="61" t="s">
        <v>2014</v>
      </c>
      <c r="C44" s="61"/>
      <c r="D44" s="61"/>
      <c r="E44" s="61"/>
      <c r="F44" s="61"/>
      <c r="G44" s="61"/>
    </row>
    <row r="45" spans="1:7" ht="37.5" customHeight="1">
      <c r="A45" s="56" t="s">
        <v>2015</v>
      </c>
      <c r="B45" s="61" t="s">
        <v>2016</v>
      </c>
      <c r="C45" s="61"/>
      <c r="D45" s="61"/>
      <c r="E45" s="61"/>
      <c r="F45" s="61"/>
      <c r="G45" s="61"/>
    </row>
    <row r="47" spans="1:7" ht="24.75" customHeight="1">
      <c r="A47" s="79" t="s">
        <v>2017</v>
      </c>
      <c r="B47" s="79"/>
      <c r="C47" s="79"/>
      <c r="D47" s="79"/>
      <c r="E47" s="79"/>
      <c r="F47" s="79"/>
      <c r="G47" s="79"/>
    </row>
    <row r="48" spans="1:7" ht="43.5" customHeight="1">
      <c r="A48" s="77" t="s">
        <v>2018</v>
      </c>
      <c r="B48" s="77"/>
      <c r="C48" s="77"/>
      <c r="D48" s="77"/>
      <c r="E48" s="77"/>
      <c r="F48" s="77"/>
      <c r="G48" s="77"/>
    </row>
    <row r="49" spans="1:7" ht="43.5" customHeight="1">
      <c r="A49" s="77" t="s">
        <v>2019</v>
      </c>
      <c r="B49" s="77"/>
      <c r="C49" s="77"/>
      <c r="D49" s="77"/>
      <c r="E49" s="77"/>
      <c r="F49" s="77"/>
      <c r="G49" s="77"/>
    </row>
    <row r="50" spans="1:7" ht="43.5" customHeight="1">
      <c r="A50" s="77" t="s">
        <v>2020</v>
      </c>
      <c r="B50" s="77"/>
      <c r="C50" s="77"/>
      <c r="D50" s="77"/>
      <c r="E50" s="77"/>
      <c r="F50" s="77"/>
      <c r="G50" s="77"/>
    </row>
    <row r="51" spans="1:7" ht="43.5" customHeight="1">
      <c r="A51" s="77" t="s">
        <v>2021</v>
      </c>
      <c r="B51" s="77"/>
      <c r="C51" s="77"/>
      <c r="D51" s="77"/>
      <c r="E51" s="77"/>
      <c r="F51" s="77"/>
      <c r="G51" s="77"/>
    </row>
    <row r="52" spans="1:7" ht="43.5" customHeight="1">
      <c r="A52" s="77" t="s">
        <v>2022</v>
      </c>
      <c r="B52" s="77"/>
      <c r="C52" s="77"/>
      <c r="D52" s="77"/>
      <c r="E52" s="77"/>
      <c r="F52" s="77"/>
      <c r="G52" s="77"/>
    </row>
    <row r="54" spans="1:7" ht="24.75" customHeight="1">
      <c r="A54" s="90" t="s">
        <v>2023</v>
      </c>
      <c r="B54" s="90"/>
      <c r="C54" s="90"/>
      <c r="D54" s="90"/>
      <c r="E54" s="90"/>
      <c r="F54" s="90"/>
      <c r="G54" s="90"/>
    </row>
    <row r="55" spans="1:7" ht="49.5" customHeight="1">
      <c r="A55" s="89" t="s">
        <v>2024</v>
      </c>
      <c r="B55" s="89"/>
      <c r="C55" s="89"/>
      <c r="D55" s="89"/>
      <c r="E55" s="89"/>
      <c r="F55" s="89"/>
      <c r="G55" s="89"/>
    </row>
    <row r="56" spans="1:7" ht="49.5" customHeight="1">
      <c r="A56" s="89" t="s">
        <v>2025</v>
      </c>
      <c r="B56" s="89"/>
      <c r="C56" s="89"/>
      <c r="D56" s="89"/>
      <c r="E56" s="89"/>
      <c r="F56" s="89"/>
      <c r="G56" s="89"/>
    </row>
    <row r="57" spans="1:7" ht="49.5" customHeight="1">
      <c r="A57" s="89" t="s">
        <v>2026</v>
      </c>
      <c r="B57" s="89"/>
      <c r="C57" s="89"/>
      <c r="D57" s="89"/>
      <c r="E57" s="89"/>
      <c r="F57" s="89"/>
      <c r="G57" s="89"/>
    </row>
    <row r="58" spans="1:7" ht="49.5" customHeight="1">
      <c r="A58" s="89" t="s">
        <v>2027</v>
      </c>
      <c r="B58" s="89"/>
      <c r="C58" s="89"/>
      <c r="D58" s="89"/>
      <c r="E58" s="89"/>
      <c r="F58" s="89"/>
      <c r="G58" s="89"/>
    </row>
    <row r="59" spans="1:7" ht="49.5" customHeight="1">
      <c r="A59" s="89" t="s">
        <v>2028</v>
      </c>
      <c r="B59" s="89"/>
      <c r="C59" s="89"/>
      <c r="D59" s="89"/>
      <c r="E59" s="89"/>
      <c r="F59" s="89"/>
      <c r="G59" s="89"/>
    </row>
  </sheetData>
  <mergeCells count="77">
    <mergeCell ref="A55:G55"/>
    <mergeCell ref="A56:G56"/>
    <mergeCell ref="A57:G57"/>
    <mergeCell ref="A58:G58"/>
    <mergeCell ref="A59:G59"/>
    <mergeCell ref="A49:G49"/>
    <mergeCell ref="A50:G50"/>
    <mergeCell ref="A51:G51"/>
    <mergeCell ref="A52:G52"/>
    <mergeCell ref="A54:G54"/>
    <mergeCell ref="B43:G43"/>
    <mergeCell ref="B44:G44"/>
    <mergeCell ref="B45:G45"/>
    <mergeCell ref="A47:G47"/>
    <mergeCell ref="A48:G48"/>
    <mergeCell ref="B38:G38"/>
    <mergeCell ref="B39:G39"/>
    <mergeCell ref="B40:G40"/>
    <mergeCell ref="B41:G41"/>
    <mergeCell ref="B42:G42"/>
    <mergeCell ref="B33:C33"/>
    <mergeCell ref="D33:G33"/>
    <mergeCell ref="A35:G35"/>
    <mergeCell ref="B36:G36"/>
    <mergeCell ref="B37:G37"/>
    <mergeCell ref="B30:C30"/>
    <mergeCell ref="D30:G30"/>
    <mergeCell ref="B31:C31"/>
    <mergeCell ref="D31:G31"/>
    <mergeCell ref="B32:C32"/>
    <mergeCell ref="D32:G32"/>
    <mergeCell ref="B27:C27"/>
    <mergeCell ref="D27:G27"/>
    <mergeCell ref="B28:C28"/>
    <mergeCell ref="D28:G28"/>
    <mergeCell ref="B29:C29"/>
    <mergeCell ref="D29:G29"/>
    <mergeCell ref="B24:C24"/>
    <mergeCell ref="D24:G24"/>
    <mergeCell ref="B25:C25"/>
    <mergeCell ref="D25:G25"/>
    <mergeCell ref="B26:C26"/>
    <mergeCell ref="D26:G26"/>
    <mergeCell ref="C19:D19"/>
    <mergeCell ref="F19:G19"/>
    <mergeCell ref="A21:G21"/>
    <mergeCell ref="A22:G22"/>
    <mergeCell ref="B23:C23"/>
    <mergeCell ref="D23:G23"/>
    <mergeCell ref="C16:D16"/>
    <mergeCell ref="F16:G16"/>
    <mergeCell ref="C17:D17"/>
    <mergeCell ref="F17:G17"/>
    <mergeCell ref="C18:D18"/>
    <mergeCell ref="F18:G18"/>
    <mergeCell ref="C13:D13"/>
    <mergeCell ref="F13:G13"/>
    <mergeCell ref="C14:D14"/>
    <mergeCell ref="F14:G14"/>
    <mergeCell ref="C15:D15"/>
    <mergeCell ref="F15:G15"/>
    <mergeCell ref="A10:G10"/>
    <mergeCell ref="C11:D11"/>
    <mergeCell ref="F11:G11"/>
    <mergeCell ref="C12:D12"/>
    <mergeCell ref="F12:G12"/>
    <mergeCell ref="D6:E6"/>
    <mergeCell ref="F6:G6"/>
    <mergeCell ref="D7:E7"/>
    <mergeCell ref="F7:G7"/>
    <mergeCell ref="D8:E8"/>
    <mergeCell ref="F8:G8"/>
    <mergeCell ref="A1:G1"/>
    <mergeCell ref="A2:G2"/>
    <mergeCell ref="A4:G4"/>
    <mergeCell ref="D5:E5"/>
    <mergeCell ref="F5:G5"/>
  </mergeCells>
  <phoneticPr fontId="33"/>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表紙・凡例</vt:lpstr>
      <vt:lpstr>①制度マスタ一覧</vt:lpstr>
      <vt:lpstr>②加盟店マッピング</vt:lpstr>
      <vt:lpstr>③ペルソナ別TOP10</vt:lpstr>
      <vt:lpstr>④申請カレンダー</vt:lpstr>
      <vt:lpstr>⑤要注意区分</vt:lpstr>
      <vt:lpstr>⑥協会優先TOP10</vt:lpstr>
      <vt:lpstr>⑦緊急融資・資金繰り</vt:lpstr>
      <vt:lpstr>⑧加盟店別地域融資ガイド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充 篠原</cp:lastModifiedBy>
  <cp:revision>0</cp:revision>
  <dcterms:created xsi:type="dcterms:W3CDTF">2026-04-25T12:41:24Z</dcterms:created>
  <dcterms:modified xsi:type="dcterms:W3CDTF">2026-05-18T00:16:14Z</dcterms:modified>
  <dc:language>en-US</dc:language>
</cp:coreProperties>
</file>